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150" windowHeight="7965" tabRatio="725"/>
  </bookViews>
  <sheets>
    <sheet name="Produtividade Estações" sheetId="2" r:id="rId1"/>
    <sheet name="Banheiros" sheetId="11" r:id="rId2"/>
    <sheet name="Efetivo Estações" sheetId="4" r:id="rId3"/>
    <sheet name="Produtividade CAO - Galpões" sheetId="6" r:id="rId4"/>
    <sheet name="Limpeza de trens entre viagens" sheetId="8" r:id="rId5"/>
    <sheet name="Higienização Covid-19" sheetId="12" r:id="rId6"/>
    <sheet name="Resumo Efetivo" sheetId="5" r:id="rId7"/>
    <sheet name="Plan1" sheetId="10" r:id="rId8"/>
  </sheets>
  <externalReferences>
    <externalReference r:id="rId9"/>
    <externalReference r:id="rId10"/>
  </externalReferences>
  <definedNames>
    <definedName name="_xlnm._FilterDatabase" localSheetId="0" hidden="1">'Produtividade Estações'!$B$10:$M$37</definedName>
    <definedName name="_xlnm.Print_Area" localSheetId="1">Banheiros!$B$4:$P$49</definedName>
    <definedName name="_xlnm.Print_Area" localSheetId="2">'Efetivo Estações'!$A$41:$L$77</definedName>
    <definedName name="_xlnm.Print_Area" localSheetId="5">'Higienização Covid-19'!$C$3:$J$46</definedName>
    <definedName name="_xlnm.Print_Area" localSheetId="4">'Limpeza de trens entre viagens'!$C$3:$J$44</definedName>
    <definedName name="_xlnm.Print_Area" localSheetId="3">'Produtividade CAO - Galpões'!$J$5:$W$25</definedName>
    <definedName name="_xlnm.Print_Area" localSheetId="0">'Produtividade Estações'!$A$163:$K$203</definedName>
    <definedName name="_xlnm.Print_Area" localSheetId="6">'Resumo Efetivo'!#REF!</definedName>
  </definedNames>
  <calcPr calcId="125725"/>
</workbook>
</file>

<file path=xl/calcChain.xml><?xml version="1.0" encoding="utf-8"?>
<calcChain xmlns="http://schemas.openxmlformats.org/spreadsheetml/2006/main">
  <c r="G43" i="12"/>
  <c r="G23" s="1"/>
  <c r="E46" i="6"/>
  <c r="H129"/>
  <c r="D195" i="2"/>
  <c r="Q149"/>
  <c r="N149"/>
  <c r="D161"/>
  <c r="D82"/>
  <c r="R149" l="1"/>
  <c r="E140" l="1"/>
  <c r="E146"/>
  <c r="E152"/>
  <c r="E158"/>
  <c r="E139"/>
  <c r="E145"/>
  <c r="E151"/>
  <c r="E157"/>
  <c r="E138"/>
  <c r="E144"/>
  <c r="E150"/>
  <c r="E156"/>
  <c r="E137"/>
  <c r="E143"/>
  <c r="E149"/>
  <c r="E155"/>
  <c r="E134"/>
  <c r="G134" s="1"/>
  <c r="E136"/>
  <c r="E142"/>
  <c r="E148"/>
  <c r="E154"/>
  <c r="E160"/>
  <c r="E135"/>
  <c r="E141"/>
  <c r="E147"/>
  <c r="E153"/>
  <c r="E159"/>
  <c r="Q114"/>
  <c r="N114"/>
  <c r="R114" l="1"/>
  <c r="K45" i="5" l="1"/>
  <c r="H54" s="1"/>
  <c r="H45"/>
  <c r="H56" s="1"/>
  <c r="G45"/>
  <c r="H55" s="1"/>
  <c r="F45"/>
  <c r="H52" s="1"/>
  <c r="E21" i="8"/>
  <c r="F21" s="1"/>
  <c r="F30"/>
  <c r="G14" i="12"/>
  <c r="G13"/>
  <c r="I13" s="1"/>
  <c r="G33"/>
  <c r="I33" s="1"/>
  <c r="F34"/>
  <c r="F33"/>
  <c r="F24"/>
  <c r="F23"/>
  <c r="F14"/>
  <c r="F13"/>
  <c r="I14" l="1"/>
  <c r="E42" i="5" s="1"/>
  <c r="G24" i="12"/>
  <c r="I24" s="1"/>
  <c r="G34"/>
  <c r="I34" s="1"/>
  <c r="I23"/>
  <c r="I45" i="5" l="1"/>
  <c r="F54" i="6"/>
  <c r="F64"/>
  <c r="G54" s="1"/>
  <c r="F200" i="2"/>
  <c r="F168" s="1"/>
  <c r="E189"/>
  <c r="E188"/>
  <c r="E187"/>
  <c r="E186"/>
  <c r="E194"/>
  <c r="E193"/>
  <c r="E192"/>
  <c r="E191"/>
  <c r="E190"/>
  <c r="E184"/>
  <c r="E183"/>
  <c r="E185"/>
  <c r="E182"/>
  <c r="E181"/>
  <c r="E180"/>
  <c r="E179"/>
  <c r="E178"/>
  <c r="E177"/>
  <c r="E176"/>
  <c r="E175"/>
  <c r="E174"/>
  <c r="E173"/>
  <c r="E172"/>
  <c r="E171"/>
  <c r="E170"/>
  <c r="E169"/>
  <c r="E168"/>
  <c r="I54" i="6" l="1"/>
  <c r="S12" s="1"/>
  <c r="E195" i="2"/>
  <c r="P21" i="11"/>
  <c r="P19"/>
  <c r="P17"/>
  <c r="P16"/>
  <c r="P15"/>
  <c r="P14"/>
  <c r="P13"/>
  <c r="P8"/>
  <c r="L47"/>
  <c r="K47"/>
  <c r="J47"/>
  <c r="I47"/>
  <c r="H47"/>
  <c r="G47"/>
  <c r="F47"/>
  <c r="I46"/>
  <c r="H46"/>
  <c r="G46"/>
  <c r="F46"/>
  <c r="I45"/>
  <c r="H45"/>
  <c r="G45"/>
  <c r="F45"/>
  <c r="I44"/>
  <c r="H44"/>
  <c r="G44"/>
  <c r="P44" s="1"/>
  <c r="F44"/>
  <c r="N43"/>
  <c r="M43"/>
  <c r="L43"/>
  <c r="K43"/>
  <c r="J43"/>
  <c r="I43"/>
  <c r="H43"/>
  <c r="G43"/>
  <c r="F43"/>
  <c r="I42"/>
  <c r="H42"/>
  <c r="G42"/>
  <c r="F42"/>
  <c r="J41"/>
  <c r="I41"/>
  <c r="H41"/>
  <c r="G41"/>
  <c r="F41"/>
  <c r="I40"/>
  <c r="H40"/>
  <c r="G40"/>
  <c r="F40"/>
  <c r="I39"/>
  <c r="H39"/>
  <c r="G39"/>
  <c r="F39"/>
  <c r="H38"/>
  <c r="G38"/>
  <c r="P38" s="1"/>
  <c r="F38"/>
  <c r="I37"/>
  <c r="H37"/>
  <c r="G37"/>
  <c r="F37"/>
  <c r="H36"/>
  <c r="G36"/>
  <c r="F36"/>
  <c r="I35"/>
  <c r="H35"/>
  <c r="G35"/>
  <c r="F35"/>
  <c r="P35" s="1"/>
  <c r="I34"/>
  <c r="H34"/>
  <c r="P34" s="1"/>
  <c r="G34"/>
  <c r="F34"/>
  <c r="P33"/>
  <c r="H33"/>
  <c r="G33"/>
  <c r="F33"/>
  <c r="I32"/>
  <c r="H32"/>
  <c r="G32"/>
  <c r="F32"/>
  <c r="I31"/>
  <c r="H31"/>
  <c r="G31"/>
  <c r="F31"/>
  <c r="K30"/>
  <c r="J30"/>
  <c r="I30"/>
  <c r="H30"/>
  <c r="G30"/>
  <c r="F30"/>
  <c r="I29"/>
  <c r="H29"/>
  <c r="G29"/>
  <c r="F29"/>
  <c r="I28"/>
  <c r="H28"/>
  <c r="G28"/>
  <c r="F28"/>
  <c r="O27"/>
  <c r="N27"/>
  <c r="M27"/>
  <c r="L27"/>
  <c r="K27"/>
  <c r="J27"/>
  <c r="I27"/>
  <c r="H27"/>
  <c r="G27"/>
  <c r="F27"/>
  <c r="G26"/>
  <c r="F26"/>
  <c r="O25"/>
  <c r="N25"/>
  <c r="M25"/>
  <c r="L25"/>
  <c r="K25"/>
  <c r="J25"/>
  <c r="I25"/>
  <c r="H25"/>
  <c r="G25"/>
  <c r="F25"/>
  <c r="G24"/>
  <c r="F24"/>
  <c r="O23"/>
  <c r="N23"/>
  <c r="M23"/>
  <c r="L23"/>
  <c r="K23"/>
  <c r="J23"/>
  <c r="I23"/>
  <c r="H23"/>
  <c r="G23"/>
  <c r="F23"/>
  <c r="G22"/>
  <c r="F22"/>
  <c r="O21"/>
  <c r="N21"/>
  <c r="M21"/>
  <c r="L21"/>
  <c r="K21"/>
  <c r="J21"/>
  <c r="I21"/>
  <c r="H21"/>
  <c r="G21"/>
  <c r="F21"/>
  <c r="G20"/>
  <c r="F20"/>
  <c r="O19"/>
  <c r="N19"/>
  <c r="M19"/>
  <c r="L19"/>
  <c r="K19"/>
  <c r="J19"/>
  <c r="I19"/>
  <c r="H19"/>
  <c r="G19"/>
  <c r="F19"/>
  <c r="I18"/>
  <c r="H18"/>
  <c r="G18"/>
  <c r="F18"/>
  <c r="O17"/>
  <c r="N17"/>
  <c r="M17"/>
  <c r="L17"/>
  <c r="K17"/>
  <c r="J17"/>
  <c r="I17"/>
  <c r="H17"/>
  <c r="G17"/>
  <c r="F17"/>
  <c r="I16"/>
  <c r="H16"/>
  <c r="G16"/>
  <c r="F16"/>
  <c r="M15"/>
  <c r="L15"/>
  <c r="K15"/>
  <c r="J15"/>
  <c r="I15"/>
  <c r="H15"/>
  <c r="G15"/>
  <c r="F15"/>
  <c r="L14"/>
  <c r="K14"/>
  <c r="J14"/>
  <c r="I14"/>
  <c r="H14"/>
  <c r="G14"/>
  <c r="F14"/>
  <c r="I13"/>
  <c r="H13"/>
  <c r="G13"/>
  <c r="F13"/>
  <c r="M12"/>
  <c r="L12"/>
  <c r="K12"/>
  <c r="J12"/>
  <c r="I12"/>
  <c r="H12"/>
  <c r="G12"/>
  <c r="F12"/>
  <c r="O11"/>
  <c r="N11"/>
  <c r="M11"/>
  <c r="L11"/>
  <c r="K11"/>
  <c r="J11"/>
  <c r="I11"/>
  <c r="H11"/>
  <c r="G11"/>
  <c r="F11"/>
  <c r="O10"/>
  <c r="N10"/>
  <c r="M10"/>
  <c r="L10"/>
  <c r="K10"/>
  <c r="J10"/>
  <c r="I10"/>
  <c r="H10"/>
  <c r="G10"/>
  <c r="F10"/>
  <c r="O9"/>
  <c r="N9"/>
  <c r="M9"/>
  <c r="L9"/>
  <c r="K9"/>
  <c r="J9"/>
  <c r="I9"/>
  <c r="H9"/>
  <c r="G9"/>
  <c r="F9"/>
  <c r="O8"/>
  <c r="N8"/>
  <c r="M8"/>
  <c r="L8"/>
  <c r="K8"/>
  <c r="J8"/>
  <c r="I8"/>
  <c r="H8"/>
  <c r="G8"/>
  <c r="F8"/>
  <c r="P27" l="1"/>
  <c r="P28"/>
  <c r="P32"/>
  <c r="P41"/>
  <c r="P43"/>
  <c r="P36"/>
  <c r="P42"/>
  <c r="P45"/>
  <c r="P29"/>
  <c r="P39"/>
  <c r="P46"/>
  <c r="P48"/>
  <c r="P23"/>
  <c r="P25"/>
  <c r="P30"/>
  <c r="P31"/>
  <c r="P37"/>
  <c r="P40"/>
  <c r="P47"/>
  <c r="D63" i="10" l="1"/>
  <c r="F61"/>
  <c r="D61"/>
  <c r="D60"/>
  <c r="G53"/>
  <c r="H48"/>
  <c r="H44"/>
  <c r="G18"/>
  <c r="L13"/>
  <c r="L10"/>
  <c r="L11"/>
  <c r="H13"/>
  <c r="G43" l="1"/>
  <c r="H43" s="1"/>
  <c r="I42" s="1"/>
  <c r="G47" s="1"/>
  <c r="I47" s="1"/>
  <c r="G9"/>
  <c r="H9" s="1"/>
  <c r="G46" l="1"/>
  <c r="I46" s="1"/>
  <c r="G54" s="1"/>
  <c r="G55" s="1"/>
  <c r="G56" s="1"/>
  <c r="I48" s="1"/>
  <c r="I45" s="1"/>
  <c r="I8"/>
  <c r="H57" l="1"/>
  <c r="G12"/>
  <c r="I12" s="1"/>
  <c r="G11"/>
  <c r="I11" s="1"/>
  <c r="G19" l="1"/>
  <c r="G20" s="1"/>
  <c r="G21" s="1"/>
  <c r="I13" s="1"/>
  <c r="I10" s="1"/>
  <c r="H22" l="1"/>
  <c r="N10" s="1"/>
  <c r="F170" i="2" l="1"/>
  <c r="H170" s="1"/>
  <c r="F171"/>
  <c r="H171" s="1"/>
  <c r="F172"/>
  <c r="F173"/>
  <c r="H173" s="1"/>
  <c r="F174"/>
  <c r="H174" s="1"/>
  <c r="F175"/>
  <c r="F176"/>
  <c r="H176" s="1"/>
  <c r="F177"/>
  <c r="H177" s="1"/>
  <c r="F178"/>
  <c r="F179"/>
  <c r="H179" s="1"/>
  <c r="F180"/>
  <c r="H180" s="1"/>
  <c r="F181"/>
  <c r="F182"/>
  <c r="H182" s="1"/>
  <c r="F183"/>
  <c r="H183" s="1"/>
  <c r="F184"/>
  <c r="F185"/>
  <c r="H185" s="1"/>
  <c r="F186"/>
  <c r="H186" s="1"/>
  <c r="F187"/>
  <c r="F188"/>
  <c r="H188" s="1"/>
  <c r="F189"/>
  <c r="H189" s="1"/>
  <c r="F190"/>
  <c r="F191"/>
  <c r="H191" s="1"/>
  <c r="F192"/>
  <c r="H192" s="1"/>
  <c r="F193"/>
  <c r="F194"/>
  <c r="H194" s="1"/>
  <c r="F169"/>
  <c r="H169" s="1"/>
  <c r="H168"/>
  <c r="H63" i="4" l="1"/>
  <c r="L26"/>
  <c r="H55"/>
  <c r="L18"/>
  <c r="H51"/>
  <c r="L14"/>
  <c r="H47"/>
  <c r="L10"/>
  <c r="H67"/>
  <c r="L30"/>
  <c r="H48"/>
  <c r="L11"/>
  <c r="H46"/>
  <c r="L9"/>
  <c r="H60"/>
  <c r="L23"/>
  <c r="H58"/>
  <c r="L21"/>
  <c r="H54"/>
  <c r="L17"/>
  <c r="H52"/>
  <c r="L15"/>
  <c r="H61"/>
  <c r="L24"/>
  <c r="H57"/>
  <c r="L20"/>
  <c r="H69"/>
  <c r="L32"/>
  <c r="H72"/>
  <c r="L35"/>
  <c r="H70"/>
  <c r="L33"/>
  <c r="H66"/>
  <c r="L29"/>
  <c r="H64"/>
  <c r="L27"/>
  <c r="H49"/>
  <c r="L12"/>
  <c r="H193" i="2"/>
  <c r="H190"/>
  <c r="H187"/>
  <c r="H184"/>
  <c r="H181"/>
  <c r="H178"/>
  <c r="H175"/>
  <c r="H172"/>
  <c r="G40" i="8"/>
  <c r="G13" s="1"/>
  <c r="F13"/>
  <c r="D104" i="2"/>
  <c r="D102"/>
  <c r="D117"/>
  <c r="F43"/>
  <c r="E11" s="1"/>
  <c r="E15" s="1"/>
  <c r="H195" l="1"/>
  <c r="G30" i="8"/>
  <c r="I30" s="1"/>
  <c r="G21"/>
  <c r="I21" s="1"/>
  <c r="I13"/>
  <c r="E38" i="5" s="1"/>
  <c r="H56" i="4"/>
  <c r="L19"/>
  <c r="H50"/>
  <c r="L13"/>
  <c r="H62"/>
  <c r="L25"/>
  <c r="H68"/>
  <c r="L31"/>
  <c r="H53"/>
  <c r="L16"/>
  <c r="H65"/>
  <c r="L28"/>
  <c r="H59"/>
  <c r="L22"/>
  <c r="H71"/>
  <c r="L34"/>
  <c r="E16" i="2"/>
  <c r="G16" s="1"/>
  <c r="D14" i="4" s="1"/>
  <c r="E14" i="2"/>
  <c r="G14" s="1"/>
  <c r="D12" i="4" s="1"/>
  <c r="E27" i="2"/>
  <c r="G27" s="1"/>
  <c r="D25" i="4" s="1"/>
  <c r="G11" i="2"/>
  <c r="D9" i="4" s="1"/>
  <c r="M10" i="10" l="1"/>
  <c r="O10" s="1"/>
  <c r="P10" s="1"/>
  <c r="D20" i="2"/>
  <c r="F74" i="6"/>
  <c r="F12" s="1"/>
  <c r="H12" s="1"/>
  <c r="M12" s="1"/>
  <c r="F15" l="1"/>
  <c r="F13"/>
  <c r="F14"/>
  <c r="D125" i="2" l="1"/>
  <c r="D62" i="10" s="1"/>
  <c r="D124" i="2"/>
  <c r="D122"/>
  <c r="D121"/>
  <c r="D120"/>
  <c r="D119"/>
  <c r="D118"/>
  <c r="D114"/>
  <c r="D113"/>
  <c r="D112"/>
  <c r="D111"/>
  <c r="D109"/>
  <c r="D108"/>
  <c r="D107"/>
  <c r="D106"/>
  <c r="D105"/>
  <c r="D103"/>
  <c r="D101"/>
  <c r="D100"/>
  <c r="D99"/>
  <c r="H120" i="6"/>
  <c r="E35"/>
  <c r="E34"/>
  <c r="E33"/>
  <c r="E32"/>
  <c r="E31"/>
  <c r="E30"/>
  <c r="E29"/>
  <c r="E16"/>
  <c r="E21" s="1"/>
  <c r="F126"/>
  <c r="I126" s="1"/>
  <c r="F117"/>
  <c r="I117" s="1"/>
  <c r="H108"/>
  <c r="F105"/>
  <c r="H97"/>
  <c r="F94"/>
  <c r="F84"/>
  <c r="F45" l="1"/>
  <c r="F44"/>
  <c r="F34"/>
  <c r="F33"/>
  <c r="F31"/>
  <c r="F29"/>
  <c r="F35"/>
  <c r="F32"/>
  <c r="F30"/>
  <c r="F16"/>
  <c r="H16" s="1"/>
  <c r="M16" s="1"/>
  <c r="F18"/>
  <c r="H18" s="1"/>
  <c r="M18" s="1"/>
  <c r="D126" i="2"/>
  <c r="L12" i="10"/>
  <c r="H13" i="6"/>
  <c r="M13" s="1"/>
  <c r="H15"/>
  <c r="M15" s="1"/>
  <c r="H14"/>
  <c r="M14" s="1"/>
  <c r="E36"/>
  <c r="I94"/>
  <c r="F17" s="1"/>
  <c r="I105"/>
  <c r="U13" l="1"/>
  <c r="U14"/>
  <c r="F20"/>
  <c r="H20" s="1"/>
  <c r="M20" s="1"/>
  <c r="U20" s="1"/>
  <c r="F19"/>
  <c r="H19" s="1"/>
  <c r="M19" s="1"/>
  <c r="G151" i="2"/>
  <c r="J26" i="4" s="1"/>
  <c r="G137" i="2"/>
  <c r="J12" i="4" s="1"/>
  <c r="G157" i="2"/>
  <c r="J32" i="4" s="1"/>
  <c r="J9"/>
  <c r="G158" i="2"/>
  <c r="J33" i="4" s="1"/>
  <c r="G135" i="2"/>
  <c r="G150"/>
  <c r="J25" i="4" s="1"/>
  <c r="G141" i="2"/>
  <c r="J16" i="4" s="1"/>
  <c r="G156" i="2"/>
  <c r="J31" i="4" s="1"/>
  <c r="G146" i="2"/>
  <c r="J21" i="4" s="1"/>
  <c r="G160" i="2"/>
  <c r="J35" i="4" s="1"/>
  <c r="G143" i="2"/>
  <c r="J18" i="4" s="1"/>
  <c r="G140" i="2"/>
  <c r="J15" i="4" s="1"/>
  <c r="G144" i="2"/>
  <c r="J19" i="4" s="1"/>
  <c r="G155" i="2"/>
  <c r="J30" i="4" s="1"/>
  <c r="G147" i="2"/>
  <c r="J22" i="4" s="1"/>
  <c r="G148" i="2"/>
  <c r="J23" i="4" s="1"/>
  <c r="G153" i="2"/>
  <c r="J28" i="4" s="1"/>
  <c r="G149" i="2"/>
  <c r="J24" i="4" s="1"/>
  <c r="G142" i="2"/>
  <c r="J17" i="4" s="1"/>
  <c r="H44" i="6"/>
  <c r="H30"/>
  <c r="O13" s="1"/>
  <c r="H32"/>
  <c r="O15" s="1"/>
  <c r="U15" s="1"/>
  <c r="H34"/>
  <c r="O17" s="1"/>
  <c r="H29"/>
  <c r="O12" s="1"/>
  <c r="U12" s="1"/>
  <c r="H31"/>
  <c r="O14" s="1"/>
  <c r="H33"/>
  <c r="O16" s="1"/>
  <c r="U16" s="1"/>
  <c r="H35"/>
  <c r="O18" s="1"/>
  <c r="U18" s="1"/>
  <c r="H17"/>
  <c r="M17" s="1"/>
  <c r="U17" s="1"/>
  <c r="L89" i="2"/>
  <c r="J55" s="1"/>
  <c r="L43"/>
  <c r="J11" s="1"/>
  <c r="J27" s="1"/>
  <c r="L27" s="1"/>
  <c r="D62" i="4" s="1"/>
  <c r="F89" i="2"/>
  <c r="E55" s="1"/>
  <c r="H46" i="6" l="1"/>
  <c r="Q19" s="1"/>
  <c r="U19" s="1"/>
  <c r="U21" s="1"/>
  <c r="H21"/>
  <c r="H36"/>
  <c r="H45"/>
  <c r="J10" i="4"/>
  <c r="M13" i="10"/>
  <c r="O13" s="1"/>
  <c r="P13" s="1"/>
  <c r="E99" i="2"/>
  <c r="G138"/>
  <c r="J13" i="4" s="1"/>
  <c r="G139" i="2"/>
  <c r="J14" i="4" s="1"/>
  <c r="E58" i="2"/>
  <c r="G58" s="1"/>
  <c r="F12" i="4" s="1"/>
  <c r="E59" i="2"/>
  <c r="G59" s="1"/>
  <c r="F13" i="4" s="1"/>
  <c r="E60" i="2"/>
  <c r="G60" s="1"/>
  <c r="F14" i="4" s="1"/>
  <c r="E61" i="2"/>
  <c r="G61" s="1"/>
  <c r="F15" i="4" s="1"/>
  <c r="E62" i="2"/>
  <c r="G62" s="1"/>
  <c r="F16" i="4" s="1"/>
  <c r="E56" i="2"/>
  <c r="G56" s="1"/>
  <c r="F10" i="4" s="1"/>
  <c r="E57" i="2"/>
  <c r="G57" s="1"/>
  <c r="F11" i="4" s="1"/>
  <c r="J60" i="2"/>
  <c r="L60" s="1"/>
  <c r="F51" i="4" s="1"/>
  <c r="J72" i="2"/>
  <c r="L72" s="1"/>
  <c r="F63" i="4" s="1"/>
  <c r="J58" i="2"/>
  <c r="L58" s="1"/>
  <c r="F49" i="4" s="1"/>
  <c r="E72" i="2"/>
  <c r="G72" s="1"/>
  <c r="F26" i="4" s="1"/>
  <c r="J14" i="2"/>
  <c r="L14" s="1"/>
  <c r="D49" i="4" s="1"/>
  <c r="J15" i="2"/>
  <c r="J16"/>
  <c r="L16" s="1"/>
  <c r="D51" i="4" s="1"/>
  <c r="G159" i="2"/>
  <c r="J34" i="4" s="1"/>
  <c r="G154" i="2"/>
  <c r="J29" i="4" s="1"/>
  <c r="G136" i="2"/>
  <c r="J11" i="4" s="1"/>
  <c r="G145" i="2"/>
  <c r="J20" i="4" s="1"/>
  <c r="J12" i="2"/>
  <c r="L12" s="1"/>
  <c r="D47" i="4" s="1"/>
  <c r="L11" i="2"/>
  <c r="G152"/>
  <c r="J27" i="4" s="1"/>
  <c r="L55" i="2"/>
  <c r="F46" i="4" s="1"/>
  <c r="J80" i="2"/>
  <c r="L80" s="1"/>
  <c r="F71" i="4" s="1"/>
  <c r="J56" i="2"/>
  <c r="L56" s="1"/>
  <c r="F47" i="4" s="1"/>
  <c r="J57" i="2"/>
  <c r="L57" s="1"/>
  <c r="F48" i="4" s="1"/>
  <c r="J59" i="2"/>
  <c r="L59" s="1"/>
  <c r="F50" i="4" s="1"/>
  <c r="J61" i="2"/>
  <c r="L61" s="1"/>
  <c r="F52" i="4" s="1"/>
  <c r="J62" i="2"/>
  <c r="L62" s="1"/>
  <c r="F53" i="4" s="1"/>
  <c r="J63" i="2"/>
  <c r="L63" s="1"/>
  <c r="F54" i="4" s="1"/>
  <c r="J64" i="2"/>
  <c r="L64" s="1"/>
  <c r="F55" i="4" s="1"/>
  <c r="J65" i="2"/>
  <c r="L65" s="1"/>
  <c r="F56" i="4" s="1"/>
  <c r="J66" i="2"/>
  <c r="L66" s="1"/>
  <c r="F57" i="4" s="1"/>
  <c r="J67" i="2"/>
  <c r="L67" s="1"/>
  <c r="F58" i="4" s="1"/>
  <c r="J68" i="2"/>
  <c r="L68" s="1"/>
  <c r="F59" i="4" s="1"/>
  <c r="J70" i="2"/>
  <c r="L70" s="1"/>
  <c r="F61" i="4" s="1"/>
  <c r="J71" i="2"/>
  <c r="L71" s="1"/>
  <c r="F62" i="4" s="1"/>
  <c r="J62" s="1"/>
  <c r="J73" i="2"/>
  <c r="L73" s="1"/>
  <c r="F64" i="4" s="1"/>
  <c r="J74" i="2"/>
  <c r="L74" s="1"/>
  <c r="F65" i="4" s="1"/>
  <c r="J75" i="2"/>
  <c r="L75" s="1"/>
  <c r="F66" i="4" s="1"/>
  <c r="J76" i="2"/>
  <c r="L76" s="1"/>
  <c r="F67" i="4" s="1"/>
  <c r="J77" i="2"/>
  <c r="L77" s="1"/>
  <c r="F68" i="4" s="1"/>
  <c r="J78" i="2"/>
  <c r="L78" s="1"/>
  <c r="F69" i="4" s="1"/>
  <c r="J79" i="2"/>
  <c r="L79" s="1"/>
  <c r="F70" i="4" s="1"/>
  <c r="J81" i="2"/>
  <c r="L81" s="1"/>
  <c r="F72" i="4" s="1"/>
  <c r="J69" i="2"/>
  <c r="L69" s="1"/>
  <c r="F60" i="4" s="1"/>
  <c r="J37" i="2"/>
  <c r="L37" s="1"/>
  <c r="D72" i="4" s="1"/>
  <c r="J35" i="2"/>
  <c r="L35" s="1"/>
  <c r="D70" i="4" s="1"/>
  <c r="J33" i="2"/>
  <c r="L33" s="1"/>
  <c r="D68" i="4" s="1"/>
  <c r="J31" i="2"/>
  <c r="L31" s="1"/>
  <c r="D66" i="4" s="1"/>
  <c r="J29" i="2"/>
  <c r="L29" s="1"/>
  <c r="D64" i="4" s="1"/>
  <c r="J26" i="2"/>
  <c r="L26" s="1"/>
  <c r="D61" i="4" s="1"/>
  <c r="J24" i="2"/>
  <c r="L24" s="1"/>
  <c r="D59" i="4" s="1"/>
  <c r="J22" i="2"/>
  <c r="L22" s="1"/>
  <c r="D57" i="4" s="1"/>
  <c r="J20" i="2"/>
  <c r="J18"/>
  <c r="J36"/>
  <c r="L36" s="1"/>
  <c r="D71" i="4" s="1"/>
  <c r="J34" i="2"/>
  <c r="L34" s="1"/>
  <c r="D69" i="4" s="1"/>
  <c r="J32" i="2"/>
  <c r="L32" s="1"/>
  <c r="D67" i="4" s="1"/>
  <c r="J30" i="2"/>
  <c r="L30" s="1"/>
  <c r="D65" i="4" s="1"/>
  <c r="J28" i="2"/>
  <c r="L28" s="1"/>
  <c r="D63" i="4" s="1"/>
  <c r="J25" i="2"/>
  <c r="L25" s="1"/>
  <c r="D60" i="4" s="1"/>
  <c r="J23" i="2"/>
  <c r="L23" s="1"/>
  <c r="D58" i="4" s="1"/>
  <c r="J21" i="2"/>
  <c r="L21" s="1"/>
  <c r="D56" i="4" s="1"/>
  <c r="J19" i="2"/>
  <c r="L19" s="1"/>
  <c r="D54" i="4" s="1"/>
  <c r="J17" i="2"/>
  <c r="J13"/>
  <c r="E65"/>
  <c r="G65" s="1"/>
  <c r="F19" i="4" s="1"/>
  <c r="E69" i="2"/>
  <c r="G69" s="1"/>
  <c r="F23" i="4" s="1"/>
  <c r="E74" i="2"/>
  <c r="G74" s="1"/>
  <c r="F28" i="4" s="1"/>
  <c r="E78" i="2"/>
  <c r="G78" s="1"/>
  <c r="F32" i="4" s="1"/>
  <c r="G55" i="2"/>
  <c r="F9" i="4" s="1"/>
  <c r="E63" i="2"/>
  <c r="G63" s="1"/>
  <c r="F17" i="4" s="1"/>
  <c r="E76" i="2"/>
  <c r="G76" s="1"/>
  <c r="F30" i="4" s="1"/>
  <c r="E64" i="2"/>
  <c r="G64" s="1"/>
  <c r="F18" i="4" s="1"/>
  <c r="E68" i="2"/>
  <c r="G68" s="1"/>
  <c r="F22" i="4" s="1"/>
  <c r="E73" i="2"/>
  <c r="G73" s="1"/>
  <c r="F27" i="4" s="1"/>
  <c r="E77" i="2"/>
  <c r="G77" s="1"/>
  <c r="F31" i="4" s="1"/>
  <c r="E81" i="2"/>
  <c r="G81" s="1"/>
  <c r="F35" i="4" s="1"/>
  <c r="E67" i="2"/>
  <c r="G67" s="1"/>
  <c r="F21" i="4" s="1"/>
  <c r="E80" i="2"/>
  <c r="G80" s="1"/>
  <c r="F34" i="4" s="1"/>
  <c r="E66" i="2"/>
  <c r="G66" s="1"/>
  <c r="F20" i="4" s="1"/>
  <c r="E70" i="2"/>
  <c r="G70" s="1"/>
  <c r="F24" i="4" s="1"/>
  <c r="E75" i="2"/>
  <c r="G75" s="1"/>
  <c r="F29" i="4" s="1"/>
  <c r="E79" i="2"/>
  <c r="G79" s="1"/>
  <c r="F33" i="4" s="1"/>
  <c r="E71" i="2"/>
  <c r="G71" s="1"/>
  <c r="F25" i="4" s="1"/>
  <c r="E20" i="2"/>
  <c r="E24"/>
  <c r="G24" s="1"/>
  <c r="D22" i="4" s="1"/>
  <c r="E29" i="2"/>
  <c r="G29" s="1"/>
  <c r="D27" i="4" s="1"/>
  <c r="E33" i="2"/>
  <c r="G33" s="1"/>
  <c r="D31" i="4" s="1"/>
  <c r="E37" i="2"/>
  <c r="G37" s="1"/>
  <c r="D35" i="4" s="1"/>
  <c r="E13" i="2"/>
  <c r="E19"/>
  <c r="G19" s="1"/>
  <c r="D17" i="4" s="1"/>
  <c r="E28" i="2"/>
  <c r="G28" s="1"/>
  <c r="D26" i="4" s="1"/>
  <c r="E32" i="2"/>
  <c r="G32" s="1"/>
  <c r="D30" i="4" s="1"/>
  <c r="E30" i="2"/>
  <c r="G30" s="1"/>
  <c r="D28" i="4" s="1"/>
  <c r="E23" i="2"/>
  <c r="G23" s="1"/>
  <c r="D21" i="4" s="1"/>
  <c r="E36" i="2"/>
  <c r="G36" s="1"/>
  <c r="D34" i="4" s="1"/>
  <c r="E18" i="2"/>
  <c r="E22"/>
  <c r="G22" s="1"/>
  <c r="D20" i="4" s="1"/>
  <c r="E26" i="2"/>
  <c r="G26" s="1"/>
  <c r="D24" i="4" s="1"/>
  <c r="E31" i="2"/>
  <c r="G31" s="1"/>
  <c r="D29" i="4" s="1"/>
  <c r="E35" i="2"/>
  <c r="G35" s="1"/>
  <c r="D33" i="4" s="1"/>
  <c r="E17" i="2"/>
  <c r="E21"/>
  <c r="G21" s="1"/>
  <c r="D19" i="4" s="1"/>
  <c r="E25" i="2"/>
  <c r="G25" s="1"/>
  <c r="D23" i="4" s="1"/>
  <c r="E34" i="2"/>
  <c r="G34" s="1"/>
  <c r="D32" i="4" s="1"/>
  <c r="E12" i="2"/>
  <c r="G12" s="1"/>
  <c r="G161" l="1"/>
  <c r="J65" i="4"/>
  <c r="J29" i="5" s="1"/>
  <c r="J64" i="4"/>
  <c r="J28" i="5" s="1"/>
  <c r="D46" i="4"/>
  <c r="J46" s="1"/>
  <c r="D10"/>
  <c r="J63"/>
  <c r="J27" i="5" s="1"/>
  <c r="J58" i="4"/>
  <c r="J22" i="5" s="1"/>
  <c r="J59" i="4"/>
  <c r="J23" i="5" s="1"/>
  <c r="J51" i="4"/>
  <c r="J15" i="5" s="1"/>
  <c r="J71" i="4"/>
  <c r="J35" i="5" s="1"/>
  <c r="J68" i="4"/>
  <c r="J32" i="5" s="1"/>
  <c r="J54" i="4"/>
  <c r="J18" i="5" s="1"/>
  <c r="J67" i="4"/>
  <c r="J31" i="5" s="1"/>
  <c r="J72" i="4"/>
  <c r="J49"/>
  <c r="J13" i="5" s="1"/>
  <c r="J47" i="4"/>
  <c r="J11" i="5" s="1"/>
  <c r="J60" i="4"/>
  <c r="J24" i="5" s="1"/>
  <c r="J69" i="4"/>
  <c r="J33" i="5" s="1"/>
  <c r="J66" i="4"/>
  <c r="J30" i="5" s="1"/>
  <c r="J57" i="4"/>
  <c r="J21" i="5" s="1"/>
  <c r="J56" i="4"/>
  <c r="J61"/>
  <c r="J25" i="5" s="1"/>
  <c r="J70" i="4"/>
  <c r="E60" i="10"/>
  <c r="M11"/>
  <c r="E61"/>
  <c r="G61" s="1"/>
  <c r="E122" i="2"/>
  <c r="G122" s="1"/>
  <c r="E113"/>
  <c r="G113" s="1"/>
  <c r="E123"/>
  <c r="G123" s="1"/>
  <c r="E119"/>
  <c r="G119" s="1"/>
  <c r="E118"/>
  <c r="G118" s="1"/>
  <c r="E125"/>
  <c r="G125" s="1"/>
  <c r="E117"/>
  <c r="G117" s="1"/>
  <c r="H27" i="4" s="1"/>
  <c r="N27" s="1"/>
  <c r="E105" i="2"/>
  <c r="G105" s="1"/>
  <c r="H15" i="4" s="1"/>
  <c r="E110" i="2"/>
  <c r="G110" s="1"/>
  <c r="E101"/>
  <c r="G101" s="1"/>
  <c r="H11" i="4" s="1"/>
  <c r="E106" i="2"/>
  <c r="G106" s="1"/>
  <c r="H16" i="4" s="1"/>
  <c r="E107" i="2"/>
  <c r="G107" s="1"/>
  <c r="E116"/>
  <c r="G116" s="1"/>
  <c r="H26" i="4" s="1"/>
  <c r="N26" s="1"/>
  <c r="E103" i="2"/>
  <c r="G99"/>
  <c r="H9" i="4" s="1"/>
  <c r="E102" i="2"/>
  <c r="G102" s="1"/>
  <c r="H12" i="4" s="1"/>
  <c r="N12" s="1"/>
  <c r="E104" i="2"/>
  <c r="E112"/>
  <c r="G112" s="1"/>
  <c r="E108"/>
  <c r="G108" s="1"/>
  <c r="H18" i="4" s="1"/>
  <c r="E120" i="2"/>
  <c r="G120" s="1"/>
  <c r="E124"/>
  <c r="G124" s="1"/>
  <c r="E111"/>
  <c r="G111" s="1"/>
  <c r="E109"/>
  <c r="E100"/>
  <c r="G100" s="1"/>
  <c r="H10" i="4" s="1"/>
  <c r="E114" i="2"/>
  <c r="G114" s="1"/>
  <c r="E115"/>
  <c r="G115" s="1"/>
  <c r="E121"/>
  <c r="G121" s="1"/>
  <c r="J26" i="5"/>
  <c r="J10" l="1"/>
  <c r="N9" i="4"/>
  <c r="N10"/>
  <c r="E11" i="5" s="1"/>
  <c r="E37"/>
  <c r="H31" i="4"/>
  <c r="N31" s="1"/>
  <c r="H30"/>
  <c r="N30" s="1"/>
  <c r="H35"/>
  <c r="N35" s="1"/>
  <c r="H34"/>
  <c r="N34" s="1"/>
  <c r="H33"/>
  <c r="N33" s="1"/>
  <c r="H24"/>
  <c r="N24" s="1"/>
  <c r="H21"/>
  <c r="N21" s="1"/>
  <c r="H22"/>
  <c r="N22" s="1"/>
  <c r="H17"/>
  <c r="N17" s="1"/>
  <c r="H29"/>
  <c r="N29" s="1"/>
  <c r="H25"/>
  <c r="N25" s="1"/>
  <c r="H20"/>
  <c r="N20" s="1"/>
  <c r="H28"/>
  <c r="N28" s="1"/>
  <c r="H32"/>
  <c r="N32" s="1"/>
  <c r="H23"/>
  <c r="N23" s="1"/>
  <c r="J36" i="5"/>
  <c r="J20"/>
  <c r="J34"/>
  <c r="M12" i="10"/>
  <c r="O12" s="1"/>
  <c r="P12" s="1"/>
  <c r="E28" i="5"/>
  <c r="E13"/>
  <c r="E27"/>
  <c r="O11" i="10"/>
  <c r="G65"/>
  <c r="H61"/>
  <c r="G104" i="2"/>
  <c r="H14" i="4" s="1"/>
  <c r="N14" s="1"/>
  <c r="G103" i="2"/>
  <c r="H13" i="4" s="1"/>
  <c r="G109" i="2"/>
  <c r="G126" l="1"/>
  <c r="E10" i="5"/>
  <c r="E29"/>
  <c r="E18"/>
  <c r="E34"/>
  <c r="E32"/>
  <c r="E21"/>
  <c r="E33"/>
  <c r="E30"/>
  <c r="E25"/>
  <c r="E31"/>
  <c r="E24"/>
  <c r="E26"/>
  <c r="E22"/>
  <c r="E36"/>
  <c r="E23"/>
  <c r="E35"/>
  <c r="H19" i="4"/>
  <c r="N19" s="1"/>
  <c r="M14" i="10"/>
  <c r="E15" i="5"/>
  <c r="E20" l="1"/>
  <c r="D18" i="2"/>
  <c r="D17"/>
  <c r="D15"/>
  <c r="D13"/>
  <c r="D38" l="1"/>
  <c r="G15"/>
  <c r="L15"/>
  <c r="L18"/>
  <c r="L17"/>
  <c r="L13"/>
  <c r="L20"/>
  <c r="G13"/>
  <c r="G18"/>
  <c r="G20"/>
  <c r="G17"/>
  <c r="D48" i="4" l="1"/>
  <c r="J48" s="1"/>
  <c r="J74" s="1"/>
  <c r="L38" i="2"/>
  <c r="G38"/>
  <c r="D15" i="4"/>
  <c r="N15" s="1"/>
  <c r="D16"/>
  <c r="N16" s="1"/>
  <c r="D55"/>
  <c r="J55" s="1"/>
  <c r="J19" i="5" s="1"/>
  <c r="D52" i="4"/>
  <c r="J52" s="1"/>
  <c r="J16" i="5" s="1"/>
  <c r="D50" i="4"/>
  <c r="J50" s="1"/>
  <c r="J14" i="5" s="1"/>
  <c r="D18" i="4"/>
  <c r="N18" s="1"/>
  <c r="D53"/>
  <c r="J53" s="1"/>
  <c r="J17" i="5" s="1"/>
  <c r="D13" i="4"/>
  <c r="N13" s="1"/>
  <c r="D11"/>
  <c r="N11" s="1"/>
  <c r="J12" i="5" l="1"/>
  <c r="N37" i="4"/>
  <c r="E17" i="5"/>
  <c r="E14"/>
  <c r="E16"/>
  <c r="E19"/>
  <c r="E12"/>
  <c r="J45" l="1"/>
  <c r="H53" s="1"/>
  <c r="E45"/>
  <c r="L45" l="1"/>
  <c r="H51"/>
  <c r="H58" s="1"/>
</calcChain>
</file>

<file path=xl/sharedStrings.xml><?xml version="1.0" encoding="utf-8"?>
<sst xmlns="http://schemas.openxmlformats.org/spreadsheetml/2006/main" count="763" uniqueCount="228">
  <si>
    <t>LOCALIDADE</t>
  </si>
  <si>
    <t>COPEIRA</t>
  </si>
  <si>
    <t>Estação CENTRAL</t>
  </si>
  <si>
    <t>TOTAL DIURNO</t>
  </si>
  <si>
    <t>-</t>
  </si>
  <si>
    <t>Estação GALERIA</t>
  </si>
  <si>
    <t>Estação 112 SUL - 112</t>
  </si>
  <si>
    <t>Estação 114 SUL - 114</t>
  </si>
  <si>
    <t>Estação ASA SUL - ASA</t>
  </si>
  <si>
    <t>Estação SHOPPING SHP</t>
  </si>
  <si>
    <t>Estação FEIRA - FEI</t>
  </si>
  <si>
    <t>Estação GUARÁ - GUA</t>
  </si>
  <si>
    <t>Estação ARNIQUEIRAS - ARN</t>
  </si>
  <si>
    <t>Estação ÁGUAS CLARAS - CLA</t>
  </si>
  <si>
    <t>Estação TAGUATINGA SUL - TAS</t>
  </si>
  <si>
    <t>Estação FURNAS - FUR</t>
  </si>
  <si>
    <t>Estação SAMAMBAIA SUL - SAS</t>
  </si>
  <si>
    <t>Estação TERMINAL SAMAMBAIA - SAM</t>
  </si>
  <si>
    <t>Estação CONCESSIONÁRIAS - COM</t>
  </si>
  <si>
    <t>Estação - PRAÇA DO RELÓGIO - REL</t>
  </si>
  <si>
    <t>Estação CENTRO METROPOLITANO - MET</t>
  </si>
  <si>
    <t>Estação CEILÂNDIA SUL - CES</t>
  </si>
  <si>
    <t>Estação GUARIROBA - GBA</t>
  </si>
  <si>
    <t>Estação CEILÂNDIA NORTE - CEN</t>
  </si>
  <si>
    <t>Estação TERMINAL CEILÂNDIA - CEI</t>
  </si>
  <si>
    <t>ÁREA INTERNA M²</t>
  </si>
  <si>
    <t>ÁREA EXTERNA M²</t>
  </si>
  <si>
    <t>Estação SHOPPING SHP/PÁTIO ASA SUL</t>
  </si>
  <si>
    <t>MÃO-DE-OBRA</t>
  </si>
  <si>
    <t>(1)</t>
  </si>
  <si>
    <t>ENCARREGADO</t>
  </si>
  <si>
    <t>____1____</t>
  </si>
  <si>
    <t>SERVENTE</t>
  </si>
  <si>
    <t>PRODUTIVIDADE MÍNIMA</t>
  </si>
  <si>
    <t>EFETIVO</t>
  </si>
  <si>
    <t>(2)</t>
  </si>
  <si>
    <t>(3)</t>
  </si>
  <si>
    <t>(4) = (1 x 2 x 3) Ki</t>
  </si>
  <si>
    <t>FREQUENCIA NO MÊS (HORAS)</t>
  </si>
  <si>
    <t>Jornada de trabalho no Mês (horas)</t>
  </si>
  <si>
    <t>1/191,40</t>
  </si>
  <si>
    <t>DIRNO</t>
  </si>
  <si>
    <t>NOTURNO</t>
  </si>
  <si>
    <t>EFETIVO ÁREA EXTERNA</t>
  </si>
  <si>
    <t>EFETIVO ÁREA INTERNA</t>
  </si>
  <si>
    <t>EFETIVO ESQUADRIA DE VIDRO</t>
  </si>
  <si>
    <t>TOTAL</t>
  </si>
  <si>
    <t xml:space="preserve">TOTAL </t>
  </si>
  <si>
    <t>DIURNO</t>
  </si>
  <si>
    <t>BLOCO A</t>
  </si>
  <si>
    <t>BLOCO B</t>
  </si>
  <si>
    <t>CENTRO DE TREINAMENTO</t>
  </si>
  <si>
    <t>CENTRO DE CONTROLE OPERACIONAL</t>
  </si>
  <si>
    <t>GALPÃO DE ELETROMECÂNICA</t>
  </si>
  <si>
    <t>ALMOXARIFADO MANUTENÇÃO</t>
  </si>
  <si>
    <t>ÁREAS DE ESTACIONAMENTO E RUAS</t>
  </si>
  <si>
    <t>CALÇADAS</t>
  </si>
  <si>
    <t>ÁREA INTERNA</t>
  </si>
  <si>
    <t xml:space="preserve">GALPÃO DE MATERIAL RODANTE </t>
  </si>
  <si>
    <t>ESQUADRIAS DE VIDRO M² FACE INTERNA E EXTERNA</t>
  </si>
  <si>
    <t>ÁREA VERDE M²</t>
  </si>
  <si>
    <t>ESQUADRIAS DE VIDRO FACE INTERNA E EXTERNA</t>
  </si>
  <si>
    <t>ESQUADRIAS DE VIDRO</t>
  </si>
  <si>
    <t>ÁREA VERDE</t>
  </si>
  <si>
    <t>COMPLEXO ADMINISTRATIVO E OPERACIONAL</t>
  </si>
  <si>
    <t>SETOR</t>
  </si>
  <si>
    <t>TOTAL ÁREA INTERNA M²/DIA</t>
  </si>
  <si>
    <t>TRENS SÉRIE 1000/2000 (06h00 as 22h00)</t>
  </si>
  <si>
    <t>QUANTIDADE ESTIMADA DE VIAGENS/LIMPEZA</t>
  </si>
  <si>
    <t>LIMPEZA DE TRENS ENTRE VIAGENS</t>
  </si>
  <si>
    <t>TORRE PÁTIO ASA SUL</t>
  </si>
  <si>
    <t>Estação CONCESSIONÁRIAS - CON</t>
  </si>
  <si>
    <t>Estação CEILÂNDIA CENTRO - CEC</t>
  </si>
  <si>
    <t>SUBTOTAL 01</t>
  </si>
  <si>
    <t>JARDINEIRO</t>
  </si>
  <si>
    <t>Áreas verdes (geral)</t>
  </si>
  <si>
    <t>EFETIVO TOTAL</t>
  </si>
  <si>
    <t xml:space="preserve">Estação 102 SUL </t>
  </si>
  <si>
    <t xml:space="preserve">Estação 108 SUL </t>
  </si>
  <si>
    <t xml:space="preserve">Estação 112 SUL </t>
  </si>
  <si>
    <t xml:space="preserve">Estação 114 SUL </t>
  </si>
  <si>
    <t>Áreas Internas</t>
  </si>
  <si>
    <t>Áreas Externas</t>
  </si>
  <si>
    <t>Estação 106 SUL</t>
  </si>
  <si>
    <t>Estação 110 SUL</t>
  </si>
  <si>
    <t>Estação ESTRADA PARQUE - EPQ</t>
  </si>
  <si>
    <t>Estação 102 SUL</t>
  </si>
  <si>
    <t>Estação 108 SUL</t>
  </si>
  <si>
    <t xml:space="preserve">Estação 110 SUL </t>
  </si>
  <si>
    <t>Áreas Verdes</t>
  </si>
  <si>
    <t>Esquadrias de Vidro</t>
  </si>
  <si>
    <t>EFETIVO ESTAÇÕES OPERACIONAIS</t>
  </si>
  <si>
    <t xml:space="preserve">Estação 106 SUL </t>
  </si>
  <si>
    <t>Estação 112 SUL</t>
  </si>
  <si>
    <t>Estação 114 SUL</t>
  </si>
  <si>
    <t>Estação SHOPPING - SHP</t>
  </si>
  <si>
    <t>TOTAL EFETIVO</t>
  </si>
  <si>
    <t>Complexo Administrativo e Operacional</t>
  </si>
  <si>
    <t>Produtividade - Efetivo</t>
  </si>
  <si>
    <t>Resumo Efetivo - Complexo Administrativo e Operacional</t>
  </si>
  <si>
    <t xml:space="preserve">ENCARREGADO </t>
  </si>
  <si>
    <t>ESTAÇÕES NÃO OPERACIONAIS / SUBESTAÇÕES</t>
  </si>
  <si>
    <t>SERVENTE DIURNO</t>
  </si>
  <si>
    <t>ENCARREGADO DIURNO</t>
  </si>
  <si>
    <t>SERVENTE NOTURNO</t>
  </si>
  <si>
    <t>ENCARREGADO NOTURNO</t>
  </si>
  <si>
    <t xml:space="preserve">Banheiros </t>
  </si>
  <si>
    <t>QUANTIDADE</t>
  </si>
  <si>
    <t>ÁREA M² - TOTAL</t>
  </si>
  <si>
    <t>BANHEIROS</t>
  </si>
  <si>
    <t>SANITIZAÇÃO - COVID/19</t>
  </si>
  <si>
    <t>HIGIENIZAÇÃO TRENS - COVID/19</t>
  </si>
  <si>
    <t>Subitem 01 - Mercado Geral</t>
  </si>
  <si>
    <t xml:space="preserve"> </t>
  </si>
  <si>
    <t>ÁREA TOTAL</t>
  </si>
  <si>
    <t>ITEM</t>
  </si>
  <si>
    <t>DISCRIMINAÇÃO</t>
  </si>
  <si>
    <t>UNIDADE</t>
  </si>
  <si>
    <t>VALOR UNITÁRIO</t>
  </si>
  <si>
    <t xml:space="preserve">SUB TOTAL </t>
  </si>
  <si>
    <t>SERVIÇOS CONTÍNUOS DE LIMPEZA</t>
  </si>
  <si>
    <t>A</t>
  </si>
  <si>
    <t>1.1</t>
  </si>
  <si>
    <t>Servente diurno 44h</t>
  </si>
  <si>
    <t>Mês</t>
  </si>
  <si>
    <t>1.2</t>
  </si>
  <si>
    <t>Servente diurno 12x36</t>
  </si>
  <si>
    <t>2.1</t>
  </si>
  <si>
    <t>Despesas Administrativas</t>
  </si>
  <si>
    <t>D</t>
  </si>
  <si>
    <t>2.2</t>
  </si>
  <si>
    <t>Lucro</t>
  </si>
  <si>
    <t>E</t>
  </si>
  <si>
    <t>3.1</t>
  </si>
  <si>
    <t>ISS</t>
  </si>
  <si>
    <t>3.2</t>
  </si>
  <si>
    <t>COFINS</t>
  </si>
  <si>
    <t>3.3</t>
  </si>
  <si>
    <t>PIS</t>
  </si>
  <si>
    <t xml:space="preserve">CÁLCULO VALOR MENSAL DOS SERVIÇOS (P1) </t>
  </si>
  <si>
    <t>TRIBUTOS (%)/100 = T0</t>
  </si>
  <si>
    <t>P0 = (A+B+C+D+E)</t>
  </si>
  <si>
    <t>P1=P0/(1-T0)</t>
  </si>
  <si>
    <t>TRIBUTOS = P1-P0</t>
  </si>
  <si>
    <t>VALOR TOTAL MENSAL ESTIMADO</t>
  </si>
  <si>
    <t>BONIFICAÇÕES E DESPESAS INDIRETAS - LUCRO</t>
  </si>
  <si>
    <t>IMPOSTOS E CONTRIBUIÇÕES SOBRE O FATURAMENTO</t>
  </si>
  <si>
    <t>T0 =</t>
  </si>
  <si>
    <t>Externa</t>
  </si>
  <si>
    <t>Interna</t>
  </si>
  <si>
    <t>Vidros</t>
  </si>
  <si>
    <t>Verde</t>
  </si>
  <si>
    <t>Cálculo - Valor m²</t>
  </si>
  <si>
    <t>ÁREA</t>
  </si>
  <si>
    <t>METROS</t>
  </si>
  <si>
    <t>VALOR POSTO</t>
  </si>
  <si>
    <t>TOTAL POSTO $</t>
  </si>
  <si>
    <t>VALOR M²</t>
  </si>
  <si>
    <t>EFETIVO SERVENTES</t>
  </si>
  <si>
    <t>LOCAL</t>
  </si>
  <si>
    <t>CAO</t>
  </si>
  <si>
    <t>TPAC</t>
  </si>
  <si>
    <t>TPAS</t>
  </si>
  <si>
    <t>CENTRAL</t>
  </si>
  <si>
    <t>GALERIA</t>
  </si>
  <si>
    <t>ASA SUL</t>
  </si>
  <si>
    <t>SHOPPING</t>
  </si>
  <si>
    <t>FEIRA</t>
  </si>
  <si>
    <t>GUARÁ</t>
  </si>
  <si>
    <t>ARNIQUEIRAS</t>
  </si>
  <si>
    <t>ÁGUAS CLARAS</t>
  </si>
  <si>
    <t>CONCESSIONÁRIAS</t>
  </si>
  <si>
    <t>ESTRADA PARQUE</t>
  </si>
  <si>
    <t>PRAÇA DO RELÓGIO</t>
  </si>
  <si>
    <t>CENTRO METROPOLITANO</t>
  </si>
  <si>
    <t>CEILÂNDIA SUL</t>
  </si>
  <si>
    <t>GUARIROBA</t>
  </si>
  <si>
    <t>CEILÂNDIA CENTRO</t>
  </si>
  <si>
    <t>CEILÂNDIA NORTE</t>
  </si>
  <si>
    <t>TERMINAL CEILÂNDIA</t>
  </si>
  <si>
    <t>TAGUATINGA SUL</t>
  </si>
  <si>
    <t>FURNAS</t>
  </si>
  <si>
    <t>SAMAMBAIA SUL</t>
  </si>
  <si>
    <t>TERMINAL SAMAMBAIA</t>
  </si>
  <si>
    <t>CAO + GALPÕES</t>
  </si>
  <si>
    <t>Total</t>
  </si>
  <si>
    <t>PÁTIO ÁGUAS CLARAS</t>
  </si>
  <si>
    <t>TOTAL NOTURNO</t>
  </si>
  <si>
    <t xml:space="preserve">NOTURNO </t>
  </si>
  <si>
    <t>TRENS SÉRIE 1000/2000 (06h00 as 22h00) - TERMINAL SAMAMBAIA</t>
  </si>
  <si>
    <t>TRENS SÉRIE 1000/2000 (06h00 as 22h00) - TERMINAL CEILÂNDIA</t>
  </si>
  <si>
    <t>Segunda a Sexta Feira</t>
  </si>
  <si>
    <t>Sábado</t>
  </si>
  <si>
    <t>Domingos e Feriados</t>
  </si>
  <si>
    <t>Higienização de Trens - Covid/19 - Terminal Ceilândia e Samambaia</t>
  </si>
  <si>
    <t>Limpeza de Trens Entre Viagens - Estação Central-CTL</t>
  </si>
  <si>
    <t>EFETIVO TOTAL - ESTIMADO</t>
  </si>
  <si>
    <t>Área dos Banheiros</t>
  </si>
  <si>
    <t>RECEPCIONISTA</t>
  </si>
  <si>
    <t>Índices de Produtividade</t>
  </si>
  <si>
    <t>Nº. de semanas trabalhadas no ano</t>
  </si>
  <si>
    <t>Dias trabalhados</t>
  </si>
  <si>
    <t>Meses do ano</t>
  </si>
  <si>
    <t>Cálculo de dias úteis no ano</t>
  </si>
  <si>
    <t>Cálculo de dias úteis mensais</t>
  </si>
  <si>
    <t>Cálculo de semanas úteis no mês**</t>
  </si>
  <si>
    <t>Cálculo de horas semanais úteis</t>
  </si>
  <si>
    <t>365/7= 52,14 Semanas</t>
  </si>
  <si>
    <t>52,14 x 6 = 312,84 dias</t>
  </si>
  <si>
    <t>312,84/12 = 26,07 dias</t>
  </si>
  <si>
    <t>26,07/6 = 4,35 Semanas</t>
  </si>
  <si>
    <t>44 h * 4,35 = 191,40 horas úteis/mês</t>
  </si>
  <si>
    <t>*sem dedução dos feriados</t>
  </si>
  <si>
    <t>Número de horas trabalhadas no mês para cada xx m²</t>
  </si>
  <si>
    <t>Número de horas semanais úteis</t>
  </si>
  <si>
    <t>Estações 102, 106, 108, 110, 112 e 114 (incluídas as passagens operacionais).</t>
  </si>
  <si>
    <t>Banheiros</t>
  </si>
  <si>
    <t>Blocos A, B, CT e CCO - Áreas Internas</t>
  </si>
  <si>
    <t>Galpões e Almoxarifado</t>
  </si>
  <si>
    <t>Quantidade</t>
  </si>
  <si>
    <t>xxxx</t>
  </si>
  <si>
    <t>ESTAÇÕES OPERACIONAIS</t>
  </si>
  <si>
    <r>
      <t>PRODUTIVIDADE (1/M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)</t>
    </r>
  </si>
  <si>
    <t>Esquadria de Vidro</t>
  </si>
  <si>
    <t>ÁREAS DE ESTACIONAMENTO E RUAS / PAC</t>
  </si>
  <si>
    <t xml:space="preserve">Áreas de Estacionamento, ruas e calçadas </t>
  </si>
  <si>
    <t xml:space="preserve">Galpão Oficinas </t>
  </si>
  <si>
    <t>A PREENCHER</t>
  </si>
</sst>
</file>

<file path=xl/styles.xml><?xml version="1.0" encoding="utf-8"?>
<styleSheet xmlns="http://schemas.openxmlformats.org/spreadsheetml/2006/main">
  <numFmts count="14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&quot;R$&quot;\ #,##0.00"/>
    <numFmt numFmtId="166" formatCode="0.0000000"/>
    <numFmt numFmtId="167" formatCode="0.00000"/>
    <numFmt numFmtId="168" formatCode="0.0000"/>
    <numFmt numFmtId="169" formatCode="0.000"/>
    <numFmt numFmtId="170" formatCode="0.0"/>
    <numFmt numFmtId="171" formatCode="0.0000000000"/>
    <numFmt numFmtId="172" formatCode="#,##0.0000000"/>
    <numFmt numFmtId="173" formatCode="#,##0.00000"/>
    <numFmt numFmtId="174" formatCode="#,##0.0000000000"/>
    <numFmt numFmtId="175" formatCode="_(&quot;R$ &quot;* #,##0.00_);_(&quot;R$ &quot;* \(#,##0.00\);_(&quot;R$ &quot;* &quot;-&quot;??_);_(@_)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9.5"/>
      <name val="Calibri"/>
      <family val="2"/>
      <scheme val="minor"/>
    </font>
    <font>
      <sz val="9.5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sz val="9"/>
      <color rgb="FFFF000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vertAlign val="superscript"/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325">
    <xf numFmtId="0" fontId="0" fillId="0" borderId="0" xfId="0"/>
    <xf numFmtId="0" fontId="0" fillId="0" borderId="0" xfId="0"/>
    <xf numFmtId="0" fontId="3" fillId="0" borderId="0" xfId="0" applyFont="1" applyBorder="1"/>
    <xf numFmtId="0" fontId="2" fillId="0" borderId="0" xfId="0" applyFont="1"/>
    <xf numFmtId="2" fontId="3" fillId="0" borderId="0" xfId="0" applyNumberFormat="1" applyFont="1" applyBorder="1"/>
    <xf numFmtId="1" fontId="3" fillId="0" borderId="0" xfId="0" applyNumberFormat="1" applyFont="1" applyBorder="1"/>
    <xf numFmtId="0" fontId="6" fillId="0" borderId="2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0" fillId="0" borderId="0" xfId="0" applyNumberFormat="1"/>
    <xf numFmtId="165" fontId="5" fillId="3" borderId="0" xfId="2" applyNumberFormat="1" applyFont="1" applyFill="1" applyBorder="1" applyAlignment="1">
      <alignment vertical="center" wrapText="1"/>
    </xf>
    <xf numFmtId="164" fontId="2" fillId="0" borderId="0" xfId="0" applyNumberFormat="1" applyFont="1" applyBorder="1"/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/>
    <xf numFmtId="165" fontId="13" fillId="3" borderId="0" xfId="2" applyNumberFormat="1" applyFont="1" applyFill="1" applyBorder="1" applyAlignment="1">
      <alignment vertical="center" wrapText="1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3" fillId="3" borderId="1" xfId="2" applyNumberFormat="1" applyFont="1" applyFill="1" applyBorder="1" applyAlignment="1">
      <alignment horizontal="center" vertical="center" wrapText="1"/>
    </xf>
    <xf numFmtId="0" fontId="0" fillId="0" borderId="0" xfId="0" applyFont="1"/>
    <xf numFmtId="165" fontId="13" fillId="3" borderId="10" xfId="2" applyNumberFormat="1" applyFont="1" applyFill="1" applyBorder="1" applyAlignment="1">
      <alignment vertical="center" wrapText="1"/>
    </xf>
    <xf numFmtId="165" fontId="13" fillId="3" borderId="0" xfId="2" applyNumberFormat="1" applyFont="1" applyFill="1" applyBorder="1" applyAlignment="1">
      <alignment horizontal="center" vertical="center" wrapText="1"/>
    </xf>
    <xf numFmtId="0" fontId="17" fillId="3" borderId="10" xfId="2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Alignment="1"/>
    <xf numFmtId="170" fontId="0" fillId="0" borderId="0" xfId="0" applyNumberFormat="1" applyFont="1" applyBorder="1"/>
    <xf numFmtId="1" fontId="0" fillId="0" borderId="0" xfId="0" applyNumberFormat="1" applyFont="1" applyBorder="1"/>
    <xf numFmtId="0" fontId="3" fillId="3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0" xfId="0" applyFont="1" applyFill="1" applyBorder="1"/>
    <xf numFmtId="0" fontId="0" fillId="3" borderId="0" xfId="0" applyFont="1" applyFill="1"/>
    <xf numFmtId="0" fontId="0" fillId="3" borderId="0" xfId="0" applyFont="1" applyFill="1" applyBorder="1" applyAlignment="1"/>
    <xf numFmtId="0" fontId="0" fillId="3" borderId="0" xfId="0" applyFont="1" applyFill="1" applyBorder="1"/>
    <xf numFmtId="2" fontId="0" fillId="3" borderId="0" xfId="0" applyNumberFormat="1" applyFont="1" applyFill="1" applyBorder="1"/>
    <xf numFmtId="0" fontId="17" fillId="3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169" fontId="3" fillId="3" borderId="1" xfId="2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0" xfId="0" applyFont="1"/>
    <xf numFmtId="0" fontId="5" fillId="3" borderId="0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2" fontId="4" fillId="0" borderId="0" xfId="0" applyNumberFormat="1" applyFont="1"/>
    <xf numFmtId="0" fontId="20" fillId="3" borderId="1" xfId="2" applyFont="1" applyFill="1" applyBorder="1" applyAlignment="1">
      <alignment horizontal="left" vertical="center" wrapText="1"/>
    </xf>
    <xf numFmtId="4" fontId="20" fillId="3" borderId="1" xfId="2" applyNumberFormat="1" applyFont="1" applyFill="1" applyBorder="1" applyAlignment="1">
      <alignment horizontal="center" vertical="center" wrapText="1"/>
    </xf>
    <xf numFmtId="0" fontId="19" fillId="3" borderId="1" xfId="2" applyFont="1" applyFill="1" applyBorder="1" applyAlignment="1">
      <alignment horizontal="center" vertical="center" wrapText="1"/>
    </xf>
    <xf numFmtId="4" fontId="19" fillId="3" borderId="1" xfId="2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2" fontId="16" fillId="0" borderId="1" xfId="0" applyNumberFormat="1" applyFont="1" applyBorder="1" applyAlignment="1">
      <alignment horizontal="center" vertical="center" wrapText="1"/>
    </xf>
    <xf numFmtId="4" fontId="0" fillId="3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20" fillId="3" borderId="1" xfId="2" applyFont="1" applyFill="1" applyBorder="1" applyAlignment="1">
      <alignment horizontal="center" vertical="center" wrapText="1"/>
    </xf>
    <xf numFmtId="2" fontId="0" fillId="0" borderId="0" xfId="0" applyNumberFormat="1" applyFont="1"/>
    <xf numFmtId="0" fontId="17" fillId="3" borderId="1" xfId="2" applyFont="1" applyFill="1" applyBorder="1" applyAlignment="1">
      <alignment horizontal="left" vertical="center" wrapText="1"/>
    </xf>
    <xf numFmtId="0" fontId="0" fillId="3" borderId="0" xfId="0" applyFill="1"/>
    <xf numFmtId="0" fontId="5" fillId="3" borderId="1" xfId="2" applyFont="1" applyFill="1" applyBorder="1" applyAlignment="1">
      <alignment horizontal="center" vertical="center" wrapText="1"/>
    </xf>
    <xf numFmtId="164" fontId="0" fillId="0" borderId="0" xfId="3" applyFont="1"/>
    <xf numFmtId="0" fontId="21" fillId="10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164" fontId="21" fillId="6" borderId="1" xfId="3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2" applyFont="1" applyBorder="1" applyAlignment="1">
      <alignment vertical="center"/>
    </xf>
    <xf numFmtId="0" fontId="22" fillId="0" borderId="1" xfId="2" applyFont="1" applyBorder="1" applyAlignment="1">
      <alignment horizontal="center" vertical="center"/>
    </xf>
    <xf numFmtId="1" fontId="22" fillId="0" borderId="1" xfId="2" applyNumberFormat="1" applyFont="1" applyBorder="1" applyAlignment="1">
      <alignment horizontal="center" vertical="center"/>
    </xf>
    <xf numFmtId="175" fontId="22" fillId="3" borderId="1" xfId="1" applyNumberFormat="1" applyFont="1" applyFill="1" applyBorder="1"/>
    <xf numFmtId="164" fontId="22" fillId="0" borderId="1" xfId="2" applyNumberFormat="1" applyFont="1" applyBorder="1" applyAlignment="1">
      <alignment horizontal="center" vertical="center"/>
    </xf>
    <xf numFmtId="164" fontId="22" fillId="0" borderId="1" xfId="3" applyFont="1" applyBorder="1" applyAlignment="1">
      <alignment horizontal="center" vertical="center"/>
    </xf>
    <xf numFmtId="0" fontId="21" fillId="6" borderId="1" xfId="1" applyFont="1" applyFill="1" applyBorder="1" applyAlignment="1">
      <alignment horizontal="center" vertical="center"/>
    </xf>
    <xf numFmtId="164" fontId="22" fillId="2" borderId="11" xfId="1" applyNumberFormat="1" applyFont="1" applyFill="1" applyBorder="1" applyAlignment="1">
      <alignment vertical="center"/>
    </xf>
    <xf numFmtId="0" fontId="21" fillId="0" borderId="1" xfId="1" applyFont="1" applyBorder="1" applyAlignment="1">
      <alignment horizontal="center" vertical="center"/>
    </xf>
    <xf numFmtId="164" fontId="22" fillId="0" borderId="6" xfId="6" applyNumberFormat="1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/>
    </xf>
    <xf numFmtId="164" fontId="21" fillId="3" borderId="1" xfId="6" applyNumberFormat="1" applyFont="1" applyFill="1" applyBorder="1" applyAlignment="1">
      <alignment horizontal="center" vertical="center"/>
    </xf>
    <xf numFmtId="164" fontId="22" fillId="0" borderId="12" xfId="6" applyNumberFormat="1" applyFont="1" applyBorder="1" applyAlignment="1">
      <alignment horizontal="center" vertical="center"/>
    </xf>
    <xf numFmtId="10" fontId="21" fillId="6" borderId="1" xfId="1" applyNumberFormat="1" applyFont="1" applyFill="1" applyBorder="1" applyAlignment="1">
      <alignment horizontal="center" vertical="center"/>
    </xf>
    <xf numFmtId="164" fontId="22" fillId="3" borderId="1" xfId="1" applyNumberFormat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1" xfId="1" applyFont="1" applyBorder="1" applyAlignment="1">
      <alignment horizontal="center"/>
    </xf>
    <xf numFmtId="10" fontId="21" fillId="0" borderId="1" xfId="5" applyNumberFormat="1" applyFont="1" applyBorder="1" applyAlignment="1">
      <alignment vertical="center"/>
    </xf>
    <xf numFmtId="10" fontId="22" fillId="0" borderId="1" xfId="6" applyNumberFormat="1" applyFont="1" applyBorder="1" applyAlignment="1">
      <alignment vertical="center"/>
    </xf>
    <xf numFmtId="164" fontId="22" fillId="0" borderId="1" xfId="6" applyNumberFormat="1" applyFont="1" applyBorder="1" applyAlignment="1">
      <alignment vertical="center"/>
    </xf>
    <xf numFmtId="175" fontId="0" fillId="0" borderId="0" xfId="0" applyNumberFormat="1"/>
    <xf numFmtId="43" fontId="0" fillId="0" borderId="0" xfId="0" applyNumberFormat="1"/>
    <xf numFmtId="175" fontId="0" fillId="0" borderId="0" xfId="0" applyNumberFormat="1" applyAlignment="1"/>
    <xf numFmtId="164" fontId="0" fillId="0" borderId="0" xfId="3" applyFont="1" applyAlignment="1"/>
    <xf numFmtId="44" fontId="0" fillId="0" borderId="0" xfId="0" applyNumberFormat="1"/>
    <xf numFmtId="175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3" fontId="0" fillId="0" borderId="1" xfId="3" applyNumberFormat="1" applyFont="1" applyBorder="1" applyAlignment="1">
      <alignment horizontal="center"/>
    </xf>
    <xf numFmtId="0" fontId="15" fillId="0" borderId="0" xfId="0" applyFont="1"/>
    <xf numFmtId="2" fontId="5" fillId="3" borderId="1" xfId="2" applyNumberFormat="1" applyFont="1" applyFill="1" applyBorder="1" applyAlignment="1">
      <alignment horizontal="center" vertical="center" wrapText="1"/>
    </xf>
    <xf numFmtId="4" fontId="0" fillId="0" borderId="0" xfId="0" applyNumberFormat="1" applyFont="1"/>
    <xf numFmtId="169" fontId="0" fillId="0" borderId="0" xfId="0" applyNumberFormat="1" applyFont="1" applyBorder="1"/>
    <xf numFmtId="169" fontId="5" fillId="3" borderId="1" xfId="2" applyNumberFormat="1" applyFont="1" applyFill="1" applyBorder="1" applyAlignment="1">
      <alignment horizontal="center" vertical="center" wrapText="1"/>
    </xf>
    <xf numFmtId="0" fontId="15" fillId="3" borderId="0" xfId="0" applyFont="1" applyFill="1" applyBorder="1" applyAlignment="1"/>
    <xf numFmtId="172" fontId="0" fillId="0" borderId="0" xfId="0" applyNumberFormat="1" applyFont="1" applyBorder="1"/>
    <xf numFmtId="0" fontId="24" fillId="0" borderId="0" xfId="0" applyFont="1"/>
    <xf numFmtId="0" fontId="25" fillId="0" borderId="0" xfId="0" applyFont="1" applyAlignment="1">
      <alignment horizontal="center"/>
    </xf>
    <xf numFmtId="0" fontId="24" fillId="3" borderId="1" xfId="0" applyFont="1" applyFill="1" applyBorder="1"/>
    <xf numFmtId="1" fontId="26" fillId="3" borderId="1" xfId="0" applyNumberFormat="1" applyFont="1" applyFill="1" applyBorder="1" applyAlignment="1">
      <alignment horizontal="center" vertical="center"/>
    </xf>
    <xf numFmtId="1" fontId="26" fillId="9" borderId="1" xfId="0" applyNumberFormat="1" applyFont="1" applyFill="1" applyBorder="1" applyAlignment="1">
      <alignment horizontal="center" vertical="center"/>
    </xf>
    <xf numFmtId="1" fontId="27" fillId="0" borderId="0" xfId="0" applyNumberFormat="1" applyFont="1"/>
    <xf numFmtId="0" fontId="27" fillId="0" borderId="0" xfId="0" applyFont="1"/>
    <xf numFmtId="0" fontId="29" fillId="3" borderId="1" xfId="2" applyFont="1" applyFill="1" applyBorder="1" applyAlignment="1">
      <alignment horizontal="center" vertical="center" wrapText="1"/>
    </xf>
    <xf numFmtId="0" fontId="29" fillId="3" borderId="7" xfId="2" applyFont="1" applyFill="1" applyBorder="1" applyAlignment="1">
      <alignment horizontal="left" vertical="center" wrapText="1"/>
    </xf>
    <xf numFmtId="0" fontId="30" fillId="3" borderId="1" xfId="0" applyFont="1" applyFill="1" applyBorder="1"/>
    <xf numFmtId="1" fontId="29" fillId="3" borderId="1" xfId="2" applyNumberFormat="1" applyFont="1" applyFill="1" applyBorder="1" applyAlignment="1">
      <alignment horizontal="center" vertical="center" wrapText="1"/>
    </xf>
    <xf numFmtId="170" fontId="30" fillId="3" borderId="0" xfId="0" applyNumberFormat="1" applyFont="1" applyFill="1" applyAlignment="1">
      <alignment horizontal="center"/>
    </xf>
    <xf numFmtId="170" fontId="30" fillId="0" borderId="0" xfId="3" applyNumberFormat="1" applyFont="1"/>
    <xf numFmtId="1" fontId="31" fillId="3" borderId="1" xfId="2" applyNumberFormat="1" applyFont="1" applyFill="1" applyBorder="1" applyAlignment="1">
      <alignment horizontal="center" vertical="center" wrapText="1"/>
    </xf>
    <xf numFmtId="0" fontId="30" fillId="0" borderId="0" xfId="0" applyFont="1"/>
    <xf numFmtId="0" fontId="29" fillId="3" borderId="11" xfId="2" applyFont="1" applyFill="1" applyBorder="1" applyAlignment="1">
      <alignment horizontal="left" vertical="center" wrapText="1"/>
    </xf>
    <xf numFmtId="0" fontId="30" fillId="3" borderId="2" xfId="0" applyFont="1" applyFill="1" applyBorder="1"/>
    <xf numFmtId="0" fontId="29" fillId="3" borderId="2" xfId="2" applyFont="1" applyFill="1" applyBorder="1" applyAlignment="1">
      <alignment horizontal="center" vertical="center" wrapText="1"/>
    </xf>
    <xf numFmtId="1" fontId="29" fillId="3" borderId="2" xfId="2" applyNumberFormat="1" applyFont="1" applyFill="1" applyBorder="1" applyAlignment="1">
      <alignment horizontal="center" vertical="center" wrapText="1"/>
    </xf>
    <xf numFmtId="170" fontId="30" fillId="3" borderId="7" xfId="0" applyNumberFormat="1" applyFont="1" applyFill="1" applyBorder="1" applyAlignment="1">
      <alignment horizontal="center"/>
    </xf>
    <xf numFmtId="0" fontId="29" fillId="3" borderId="1" xfId="2" applyFont="1" applyFill="1" applyBorder="1" applyAlignment="1">
      <alignment horizontal="left" vertical="center" wrapText="1"/>
    </xf>
    <xf numFmtId="170" fontId="30" fillId="3" borderId="1" xfId="0" applyNumberFormat="1" applyFont="1" applyFill="1" applyBorder="1" applyAlignment="1">
      <alignment horizontal="center"/>
    </xf>
    <xf numFmtId="0" fontId="30" fillId="3" borderId="0" xfId="0" applyFont="1" applyFill="1"/>
    <xf numFmtId="0" fontId="30" fillId="3" borderId="0" xfId="0" applyFont="1" applyFill="1" applyAlignment="1">
      <alignment horizontal="center"/>
    </xf>
    <xf numFmtId="0" fontId="31" fillId="6" borderId="1" xfId="2" applyFont="1" applyFill="1" applyBorder="1" applyAlignment="1">
      <alignment horizontal="center" vertical="center" wrapText="1"/>
    </xf>
    <xf numFmtId="1" fontId="26" fillId="0" borderId="0" xfId="0" applyNumberFormat="1" applyFont="1" applyAlignment="1">
      <alignment horizontal="center"/>
    </xf>
    <xf numFmtId="1" fontId="30" fillId="0" borderId="0" xfId="0" applyNumberFormat="1" applyFont="1"/>
    <xf numFmtId="1" fontId="30" fillId="0" borderId="1" xfId="0" applyNumberFormat="1" applyFont="1" applyBorder="1" applyAlignment="1">
      <alignment horizontal="center"/>
    </xf>
    <xf numFmtId="3" fontId="7" fillId="13" borderId="3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7" fillId="13" borderId="1" xfId="0" applyNumberFormat="1" applyFont="1" applyFill="1" applyBorder="1" applyAlignment="1">
      <alignment horizontal="center"/>
    </xf>
    <xf numFmtId="0" fontId="15" fillId="0" borderId="0" xfId="0" applyFont="1" applyBorder="1"/>
    <xf numFmtId="0" fontId="9" fillId="12" borderId="1" xfId="0" applyFont="1" applyFill="1" applyBorder="1" applyAlignment="1">
      <alignment horizontal="center" vertical="center"/>
    </xf>
    <xf numFmtId="2" fontId="0" fillId="3" borderId="1" xfId="0" applyNumberFormat="1" applyFont="1" applyFill="1" applyBorder="1" applyAlignment="1">
      <alignment horizontal="center" vertical="center"/>
    </xf>
    <xf numFmtId="4" fontId="2" fillId="6" borderId="1" xfId="0" applyNumberFormat="1" applyFont="1" applyFill="1" applyBorder="1" applyAlignment="1">
      <alignment horizontal="center" vertical="center"/>
    </xf>
    <xf numFmtId="0" fontId="26" fillId="0" borderId="0" xfId="0" applyFont="1" applyAlignment="1"/>
    <xf numFmtId="2" fontId="30" fillId="0" borderId="0" xfId="0" applyNumberFormat="1" applyFont="1"/>
    <xf numFmtId="1" fontId="26" fillId="13" borderId="1" xfId="0" applyNumberFormat="1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166" fontId="3" fillId="3" borderId="6" xfId="2" applyNumberFormat="1" applyFont="1" applyFill="1" applyBorder="1" applyAlignment="1">
      <alignment horizontal="center" vertical="center" wrapText="1"/>
    </xf>
    <xf numFmtId="166" fontId="3" fillId="3" borderId="7" xfId="2" applyNumberFormat="1" applyFont="1" applyFill="1" applyBorder="1" applyAlignment="1">
      <alignment horizontal="center" vertical="center" wrapText="1"/>
    </xf>
    <xf numFmtId="170" fontId="5" fillId="3" borderId="6" xfId="2" applyNumberFormat="1" applyFont="1" applyFill="1" applyBorder="1" applyAlignment="1">
      <alignment horizontal="center" vertical="center" wrapText="1"/>
    </xf>
    <xf numFmtId="170" fontId="5" fillId="3" borderId="8" xfId="2" applyNumberFormat="1" applyFont="1" applyFill="1" applyBorder="1" applyAlignment="1">
      <alignment horizontal="center" vertical="center" wrapText="1"/>
    </xf>
    <xf numFmtId="170" fontId="5" fillId="3" borderId="7" xfId="2" applyNumberFormat="1" applyFont="1" applyFill="1" applyBorder="1" applyAlignment="1">
      <alignment horizontal="center" vertical="center" wrapText="1"/>
    </xf>
    <xf numFmtId="170" fontId="3" fillId="3" borderId="6" xfId="2" applyNumberFormat="1" applyFont="1" applyFill="1" applyBorder="1" applyAlignment="1">
      <alignment horizontal="center" vertical="center" wrapText="1"/>
    </xf>
    <xf numFmtId="170" fontId="3" fillId="3" borderId="8" xfId="2" applyNumberFormat="1" applyFont="1" applyFill="1" applyBorder="1" applyAlignment="1">
      <alignment horizontal="center" vertical="center" wrapText="1"/>
    </xf>
    <xf numFmtId="170" fontId="3" fillId="3" borderId="7" xfId="2" applyNumberFormat="1" applyFont="1" applyFill="1" applyBorder="1" applyAlignment="1">
      <alignment horizontal="center" vertical="center" wrapText="1"/>
    </xf>
    <xf numFmtId="0" fontId="17" fillId="12" borderId="6" xfId="2" applyFont="1" applyFill="1" applyBorder="1" applyAlignment="1">
      <alignment horizontal="center" vertical="center" wrapText="1"/>
    </xf>
    <xf numFmtId="0" fontId="17" fillId="12" borderId="7" xfId="2" applyFont="1" applyFill="1" applyBorder="1" applyAlignment="1">
      <alignment horizontal="center" vertical="center" wrapText="1"/>
    </xf>
    <xf numFmtId="0" fontId="17" fillId="12" borderId="8" xfId="2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4" applyNumberFormat="1" applyFont="1" applyBorder="1" applyAlignment="1">
      <alignment horizontal="center" vertical="center"/>
    </xf>
    <xf numFmtId="172" fontId="3" fillId="0" borderId="1" xfId="4" applyNumberFormat="1" applyFont="1" applyBorder="1" applyAlignment="1">
      <alignment horizontal="center" vertical="center"/>
    </xf>
    <xf numFmtId="2" fontId="5" fillId="3" borderId="6" xfId="2" applyNumberFormat="1" applyFont="1" applyFill="1" applyBorder="1" applyAlignment="1">
      <alignment horizontal="center" vertical="center" wrapText="1"/>
    </xf>
    <xf numFmtId="2" fontId="5" fillId="3" borderId="7" xfId="2" applyNumberFormat="1" applyFont="1" applyFill="1" applyBorder="1" applyAlignment="1">
      <alignment horizontal="center" vertical="center" wrapText="1"/>
    </xf>
    <xf numFmtId="167" fontId="3" fillId="3" borderId="6" xfId="2" applyNumberFormat="1" applyFont="1" applyFill="1" applyBorder="1" applyAlignment="1">
      <alignment horizontal="center" vertical="center" wrapText="1"/>
    </xf>
    <xf numFmtId="167" fontId="3" fillId="3" borderId="7" xfId="2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4" fontId="3" fillId="0" borderId="1" xfId="4" applyNumberFormat="1" applyFont="1" applyBorder="1" applyAlignment="1">
      <alignment horizontal="center" vertical="center"/>
    </xf>
    <xf numFmtId="171" fontId="3" fillId="3" borderId="6" xfId="2" applyNumberFormat="1" applyFont="1" applyFill="1" applyBorder="1" applyAlignment="1">
      <alignment horizontal="center" vertical="center" wrapText="1"/>
    </xf>
    <xf numFmtId="171" fontId="3" fillId="3" borderId="7" xfId="2" applyNumberFormat="1" applyFont="1" applyFill="1" applyBorder="1" applyAlignment="1">
      <alignment horizontal="center" vertical="center" wrapText="1"/>
    </xf>
    <xf numFmtId="172" fontId="3" fillId="3" borderId="6" xfId="2" applyNumberFormat="1" applyFont="1" applyFill="1" applyBorder="1" applyAlignment="1">
      <alignment horizontal="center" vertical="center" wrapText="1"/>
    </xf>
    <xf numFmtId="172" fontId="3" fillId="3" borderId="7" xfId="2" applyNumberFormat="1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0" fillId="12" borderId="1" xfId="2" applyFont="1" applyFill="1" applyBorder="1" applyAlignment="1">
      <alignment horizontal="center" vertical="center" wrapText="1"/>
    </xf>
    <xf numFmtId="0" fontId="5" fillId="12" borderId="1" xfId="2" applyFont="1" applyFill="1" applyBorder="1" applyAlignment="1">
      <alignment horizontal="center" vertical="center" wrapText="1"/>
    </xf>
    <xf numFmtId="0" fontId="17" fillId="12" borderId="1" xfId="2" applyFont="1" applyFill="1" applyBorder="1" applyAlignment="1">
      <alignment horizontal="center" vertical="center" wrapText="1"/>
    </xf>
    <xf numFmtId="0" fontId="17" fillId="12" borderId="2" xfId="2" applyFont="1" applyFill="1" applyBorder="1" applyAlignment="1">
      <alignment horizontal="center" vertical="center" wrapText="1"/>
    </xf>
    <xf numFmtId="0" fontId="17" fillId="12" borderId="3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7" borderId="1" xfId="0" applyFont="1" applyFill="1" applyBorder="1" applyAlignment="1">
      <alignment horizontal="center" vertical="center"/>
    </xf>
    <xf numFmtId="165" fontId="10" fillId="7" borderId="6" xfId="2" applyNumberFormat="1" applyFont="1" applyFill="1" applyBorder="1" applyAlignment="1">
      <alignment horizontal="center" vertical="center" wrapText="1"/>
    </xf>
    <xf numFmtId="165" fontId="10" fillId="7" borderId="8" xfId="2" applyNumberFormat="1" applyFont="1" applyFill="1" applyBorder="1" applyAlignment="1">
      <alignment horizontal="center" vertical="center" wrapText="1"/>
    </xf>
    <xf numFmtId="165" fontId="10" fillId="7" borderId="7" xfId="2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12" borderId="2" xfId="2" applyFont="1" applyFill="1" applyBorder="1" applyAlignment="1">
      <alignment horizontal="center" vertical="center" wrapText="1"/>
    </xf>
    <xf numFmtId="0" fontId="5" fillId="12" borderId="3" xfId="2" applyFont="1" applyFill="1" applyBorder="1" applyAlignment="1">
      <alignment horizontal="center" vertical="center" wrapText="1"/>
    </xf>
    <xf numFmtId="165" fontId="14" fillId="3" borderId="0" xfId="2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12" borderId="9" xfId="2" applyFont="1" applyFill="1" applyBorder="1" applyAlignment="1">
      <alignment horizontal="center" vertical="center" wrapText="1"/>
    </xf>
    <xf numFmtId="0" fontId="17" fillId="12" borderId="4" xfId="2" applyFont="1" applyFill="1" applyBorder="1" applyAlignment="1">
      <alignment horizontal="center" vertical="center" wrapText="1"/>
    </xf>
    <xf numFmtId="0" fontId="9" fillId="12" borderId="2" xfId="0" applyFont="1" applyFill="1" applyBorder="1" applyAlignment="1">
      <alignment horizontal="center" vertical="center"/>
    </xf>
    <xf numFmtId="0" fontId="9" fillId="12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9" fillId="12" borderId="1" xfId="0" applyFont="1" applyFill="1" applyBorder="1" applyAlignment="1">
      <alignment horizontal="center" vertical="center"/>
    </xf>
    <xf numFmtId="2" fontId="0" fillId="3" borderId="1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9" fillId="12" borderId="12" xfId="0" applyFont="1" applyFill="1" applyBorder="1" applyAlignment="1">
      <alignment horizontal="center" vertical="center"/>
    </xf>
    <xf numFmtId="0" fontId="9" fillId="12" borderId="13" xfId="0" applyFont="1" applyFill="1" applyBorder="1" applyAlignment="1">
      <alignment horizontal="center" vertical="center"/>
    </xf>
    <xf numFmtId="0" fontId="9" fillId="12" borderId="11" xfId="0" applyFont="1" applyFill="1" applyBorder="1" applyAlignment="1">
      <alignment horizontal="center" vertical="center"/>
    </xf>
    <xf numFmtId="0" fontId="9" fillId="12" borderId="9" xfId="0" applyFont="1" applyFill="1" applyBorder="1" applyAlignment="1">
      <alignment horizontal="center" vertical="center"/>
    </xf>
    <xf numFmtId="0" fontId="9" fillId="12" borderId="14" xfId="0" applyFont="1" applyFill="1" applyBorder="1" applyAlignment="1">
      <alignment horizontal="center" vertical="center"/>
    </xf>
    <xf numFmtId="0" fontId="9" fillId="12" borderId="4" xfId="0" applyFont="1" applyFill="1" applyBorder="1" applyAlignment="1">
      <alignment horizontal="center" vertical="center"/>
    </xf>
    <xf numFmtId="2" fontId="3" fillId="3" borderId="6" xfId="2" applyNumberFormat="1" applyFont="1" applyFill="1" applyBorder="1" applyAlignment="1">
      <alignment horizontal="center" vertical="center" wrapText="1"/>
    </xf>
    <xf numFmtId="2" fontId="3" fillId="3" borderId="7" xfId="2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7" fillId="8" borderId="6" xfId="2" applyFont="1" applyFill="1" applyBorder="1" applyAlignment="1">
      <alignment horizontal="center" vertical="center" wrapText="1"/>
    </xf>
    <xf numFmtId="0" fontId="17" fillId="8" borderId="7" xfId="2" applyFont="1" applyFill="1" applyBorder="1" applyAlignment="1">
      <alignment horizontal="center" vertical="center" wrapText="1"/>
    </xf>
    <xf numFmtId="0" fontId="10" fillId="8" borderId="12" xfId="2" applyFont="1" applyFill="1" applyBorder="1" applyAlignment="1">
      <alignment horizontal="center" vertical="center" wrapText="1"/>
    </xf>
    <xf numFmtId="0" fontId="10" fillId="8" borderId="11" xfId="2" applyFont="1" applyFill="1" applyBorder="1" applyAlignment="1">
      <alignment horizontal="center" vertical="center" wrapText="1"/>
    </xf>
    <xf numFmtId="0" fontId="10" fillId="8" borderId="9" xfId="2" applyFont="1" applyFill="1" applyBorder="1" applyAlignment="1">
      <alignment horizontal="center" vertical="center" wrapText="1"/>
    </xf>
    <xf numFmtId="0" fontId="10" fillId="8" borderId="4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7" fillId="8" borderId="1" xfId="2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/>
    </xf>
    <xf numFmtId="0" fontId="0" fillId="12" borderId="2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 wrapText="1"/>
    </xf>
    <xf numFmtId="0" fontId="19" fillId="8" borderId="2" xfId="2" applyFont="1" applyFill="1" applyBorder="1" applyAlignment="1">
      <alignment horizontal="center" vertical="center" wrapText="1"/>
    </xf>
    <xf numFmtId="0" fontId="19" fillId="8" borderId="3" xfId="2" applyFont="1" applyFill="1" applyBorder="1" applyAlignment="1">
      <alignment horizontal="center" vertical="center" wrapText="1"/>
    </xf>
    <xf numFmtId="0" fontId="19" fillId="8" borderId="6" xfId="2" applyFont="1" applyFill="1" applyBorder="1" applyAlignment="1">
      <alignment horizontal="center" vertical="center" wrapText="1"/>
    </xf>
    <xf numFmtId="0" fontId="19" fillId="8" borderId="7" xfId="2" applyFont="1" applyFill="1" applyBorder="1" applyAlignment="1">
      <alignment horizontal="center" vertical="center" wrapText="1"/>
    </xf>
    <xf numFmtId="4" fontId="5" fillId="3" borderId="6" xfId="2" applyNumberFormat="1" applyFont="1" applyFill="1" applyBorder="1" applyAlignment="1">
      <alignment horizontal="center" vertical="center" wrapText="1"/>
    </xf>
    <xf numFmtId="4" fontId="5" fillId="3" borderId="7" xfId="2" applyNumberFormat="1" applyFont="1" applyFill="1" applyBorder="1" applyAlignment="1">
      <alignment horizontal="center" vertical="center" wrapText="1"/>
    </xf>
    <xf numFmtId="4" fontId="19" fillId="6" borderId="6" xfId="2" applyNumberFormat="1" applyFont="1" applyFill="1" applyBorder="1" applyAlignment="1">
      <alignment horizontal="center" vertical="center" wrapText="1"/>
    </xf>
    <xf numFmtId="4" fontId="19" fillId="6" borderId="7" xfId="2" applyNumberFormat="1" applyFont="1" applyFill="1" applyBorder="1" applyAlignment="1">
      <alignment horizontal="center" vertical="center" wrapText="1"/>
    </xf>
    <xf numFmtId="169" fontId="5" fillId="3" borderId="6" xfId="0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20" fillId="3" borderId="6" xfId="2" applyNumberFormat="1" applyFont="1" applyFill="1" applyBorder="1" applyAlignment="1">
      <alignment horizontal="center" vertical="center" wrapText="1"/>
    </xf>
    <xf numFmtId="2" fontId="20" fillId="3" borderId="7" xfId="2" applyNumberFormat="1" applyFont="1" applyFill="1" applyBorder="1" applyAlignment="1">
      <alignment horizontal="center" vertical="center" wrapText="1"/>
    </xf>
    <xf numFmtId="169" fontId="20" fillId="3" borderId="12" xfId="2" applyNumberFormat="1" applyFont="1" applyFill="1" applyBorder="1" applyAlignment="1">
      <alignment horizontal="center" vertical="center" wrapText="1"/>
    </xf>
    <xf numFmtId="169" fontId="20" fillId="3" borderId="11" xfId="2" applyNumberFormat="1" applyFont="1" applyFill="1" applyBorder="1" applyAlignment="1">
      <alignment horizontal="center" vertical="center" wrapText="1"/>
    </xf>
    <xf numFmtId="169" fontId="20" fillId="3" borderId="15" xfId="2" applyNumberFormat="1" applyFont="1" applyFill="1" applyBorder="1" applyAlignment="1">
      <alignment horizontal="center" vertical="center" wrapText="1"/>
    </xf>
    <xf numFmtId="169" fontId="20" fillId="3" borderId="10" xfId="2" applyNumberFormat="1" applyFont="1" applyFill="1" applyBorder="1" applyAlignment="1">
      <alignment horizontal="center" vertical="center" wrapText="1"/>
    </xf>
    <xf numFmtId="169" fontId="20" fillId="3" borderId="9" xfId="2" applyNumberFormat="1" applyFont="1" applyFill="1" applyBorder="1" applyAlignment="1">
      <alignment horizontal="center" vertical="center" wrapText="1"/>
    </xf>
    <xf numFmtId="169" fontId="20" fillId="3" borderId="4" xfId="2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/>
    </xf>
    <xf numFmtId="2" fontId="0" fillId="3" borderId="6" xfId="0" applyNumberFormat="1" applyFont="1" applyFill="1" applyBorder="1" applyAlignment="1">
      <alignment horizontal="center"/>
    </xf>
    <xf numFmtId="2" fontId="0" fillId="3" borderId="7" xfId="0" applyNumberFormat="1" applyFont="1" applyFill="1" applyBorder="1" applyAlignment="1">
      <alignment horizontal="center"/>
    </xf>
    <xf numFmtId="4" fontId="19" fillId="3" borderId="6" xfId="2" applyNumberFormat="1" applyFont="1" applyFill="1" applyBorder="1" applyAlignment="1">
      <alignment horizontal="center" vertical="center" wrapText="1"/>
    </xf>
    <xf numFmtId="4" fontId="19" fillId="3" borderId="7" xfId="2" applyNumberFormat="1" applyFont="1" applyFill="1" applyBorder="1" applyAlignment="1">
      <alignment horizontal="center" vertical="center" wrapText="1"/>
    </xf>
    <xf numFmtId="166" fontId="0" fillId="0" borderId="6" xfId="0" applyNumberFormat="1" applyFont="1" applyBorder="1" applyAlignment="1">
      <alignment horizontal="center" vertical="center" wrapText="1"/>
    </xf>
    <xf numFmtId="166" fontId="0" fillId="0" borderId="7" xfId="0" applyNumberFormat="1" applyFont="1" applyBorder="1" applyAlignment="1">
      <alignment horizontal="center" vertical="center" wrapText="1"/>
    </xf>
    <xf numFmtId="2" fontId="0" fillId="0" borderId="6" xfId="0" applyNumberFormat="1" applyFont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2" fontId="0" fillId="0" borderId="6" xfId="0" applyNumberFormat="1" applyFont="1" applyBorder="1" applyAlignment="1">
      <alignment horizontal="center"/>
    </xf>
    <xf numFmtId="2" fontId="0" fillId="0" borderId="7" xfId="0" applyNumberFormat="1" applyFont="1" applyBorder="1" applyAlignment="1">
      <alignment horizontal="center"/>
    </xf>
    <xf numFmtId="172" fontId="0" fillId="3" borderId="6" xfId="0" applyNumberFormat="1" applyFont="1" applyFill="1" applyBorder="1" applyAlignment="1">
      <alignment horizontal="center" vertical="center" wrapText="1"/>
    </xf>
    <xf numFmtId="172" fontId="0" fillId="3" borderId="7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2" xfId="4" applyNumberFormat="1" applyFont="1" applyBorder="1" applyAlignment="1">
      <alignment horizontal="center" vertical="center"/>
    </xf>
    <xf numFmtId="3" fontId="3" fillId="0" borderId="3" xfId="4" applyNumberFormat="1" applyFont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/>
    </xf>
    <xf numFmtId="49" fontId="16" fillId="0" borderId="7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164" fontId="3" fillId="0" borderId="2" xfId="4" applyFont="1" applyBorder="1" applyAlignment="1">
      <alignment horizontal="center" vertical="center"/>
    </xf>
    <xf numFmtId="164" fontId="3" fillId="0" borderId="3" xfId="4" applyFont="1" applyBorder="1" applyAlignment="1">
      <alignment horizontal="center" vertical="center"/>
    </xf>
    <xf numFmtId="172" fontId="3" fillId="0" borderId="2" xfId="4" applyNumberFormat="1" applyFont="1" applyBorder="1" applyAlignment="1">
      <alignment horizontal="center" vertical="center"/>
    </xf>
    <xf numFmtId="172" fontId="3" fillId="0" borderId="3" xfId="4" applyNumberFormat="1" applyFont="1" applyBorder="1" applyAlignment="1">
      <alignment horizontal="center" vertical="center"/>
    </xf>
    <xf numFmtId="173" fontId="20" fillId="3" borderId="6" xfId="2" applyNumberFormat="1" applyFont="1" applyFill="1" applyBorder="1" applyAlignment="1">
      <alignment horizontal="center" vertical="center" wrapText="1"/>
    </xf>
    <xf numFmtId="173" fontId="20" fillId="3" borderId="7" xfId="2" applyNumberFormat="1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9" fillId="12" borderId="1" xfId="2" applyFont="1" applyFill="1" applyBorder="1" applyAlignment="1">
      <alignment horizontal="center" vertical="center" wrapText="1"/>
    </xf>
    <xf numFmtId="0" fontId="20" fillId="3" borderId="6" xfId="2" applyFont="1" applyFill="1" applyBorder="1" applyAlignment="1">
      <alignment horizontal="center" vertical="center" wrapText="1"/>
    </xf>
    <xf numFmtId="0" fontId="20" fillId="3" borderId="7" xfId="2" applyFont="1" applyFill="1" applyBorder="1" applyAlignment="1">
      <alignment horizontal="center" vertical="center" wrapText="1"/>
    </xf>
    <xf numFmtId="2" fontId="19" fillId="6" borderId="6" xfId="2" applyNumberFormat="1" applyFont="1" applyFill="1" applyBorder="1" applyAlignment="1">
      <alignment horizontal="center" vertical="center" wrapText="1"/>
    </xf>
    <xf numFmtId="2" fontId="19" fillId="6" borderId="7" xfId="2" applyNumberFormat="1" applyFont="1" applyFill="1" applyBorder="1" applyAlignment="1">
      <alignment horizontal="center" vertical="center" wrapText="1"/>
    </xf>
    <xf numFmtId="0" fontId="17" fillId="11" borderId="6" xfId="2" applyFont="1" applyFill="1" applyBorder="1" applyAlignment="1">
      <alignment horizontal="center" vertical="center" wrapText="1"/>
    </xf>
    <xf numFmtId="0" fontId="17" fillId="11" borderId="7" xfId="2" applyFont="1" applyFill="1" applyBorder="1" applyAlignment="1">
      <alignment horizontal="center" vertical="center" wrapText="1"/>
    </xf>
    <xf numFmtId="0" fontId="19" fillId="12" borderId="2" xfId="2" applyFont="1" applyFill="1" applyBorder="1" applyAlignment="1">
      <alignment horizontal="center" vertical="center" wrapText="1"/>
    </xf>
    <xf numFmtId="0" fontId="19" fillId="12" borderId="3" xfId="2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168" fontId="20" fillId="3" borderId="6" xfId="2" applyNumberFormat="1" applyFont="1" applyFill="1" applyBorder="1" applyAlignment="1">
      <alignment horizontal="center" vertical="center" wrapText="1"/>
    </xf>
    <xf numFmtId="168" fontId="20" fillId="3" borderId="7" xfId="2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8" fillId="5" borderId="2" xfId="2" applyFont="1" applyFill="1" applyBorder="1" applyAlignment="1">
      <alignment horizontal="center" vertical="center" wrapText="1"/>
    </xf>
    <xf numFmtId="0" fontId="28" fillId="5" borderId="3" xfId="2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1" fontId="29" fillId="3" borderId="2" xfId="2" applyNumberFormat="1" applyFont="1" applyFill="1" applyBorder="1" applyAlignment="1">
      <alignment horizontal="center" vertical="center" wrapText="1"/>
    </xf>
    <xf numFmtId="1" fontId="29" fillId="3" borderId="5" xfId="2" applyNumberFormat="1" applyFont="1" applyFill="1" applyBorder="1" applyAlignment="1">
      <alignment horizontal="center" vertical="center" wrapText="1"/>
    </xf>
    <xf numFmtId="1" fontId="29" fillId="3" borderId="3" xfId="2" applyNumberFormat="1" applyFont="1" applyFill="1" applyBorder="1" applyAlignment="1">
      <alignment horizontal="center" vertical="center" wrapText="1"/>
    </xf>
    <xf numFmtId="0" fontId="28" fillId="5" borderId="1" xfId="2" applyFont="1" applyFill="1" applyBorder="1" applyAlignment="1">
      <alignment horizontal="center" vertical="center" wrapText="1"/>
    </xf>
    <xf numFmtId="0" fontId="27" fillId="7" borderId="6" xfId="0" applyFont="1" applyFill="1" applyBorder="1" applyAlignment="1">
      <alignment horizontal="center" vertical="center"/>
    </xf>
    <xf numFmtId="0" fontId="27" fillId="7" borderId="8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1" fillId="10" borderId="1" xfId="1" applyFont="1" applyFill="1" applyBorder="1" applyAlignment="1">
      <alignment horizontal="center" vertical="center"/>
    </xf>
    <xf numFmtId="164" fontId="22" fillId="2" borderId="1" xfId="6" applyNumberFormat="1" applyFont="1" applyFill="1" applyBorder="1" applyAlignment="1">
      <alignment horizontal="center" vertical="center"/>
    </xf>
    <xf numFmtId="175" fontId="0" fillId="0" borderId="2" xfId="0" applyNumberFormat="1" applyBorder="1" applyAlignment="1">
      <alignment horizontal="center" vertical="center"/>
    </xf>
    <xf numFmtId="175" fontId="0" fillId="0" borderId="5" xfId="0" applyNumberFormat="1" applyBorder="1" applyAlignment="1">
      <alignment horizontal="center" vertical="center"/>
    </xf>
    <xf numFmtId="175" fontId="0" fillId="0" borderId="3" xfId="0" applyNumberForma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164" fontId="21" fillId="0" borderId="1" xfId="1" applyNumberFormat="1" applyFont="1" applyBorder="1" applyAlignment="1">
      <alignment horizontal="center" vertical="center"/>
    </xf>
    <xf numFmtId="164" fontId="21" fillId="0" borderId="1" xfId="6" applyNumberFormat="1" applyFont="1" applyBorder="1" applyAlignment="1">
      <alignment horizontal="center" vertical="center"/>
    </xf>
    <xf numFmtId="0" fontId="21" fillId="6" borderId="1" xfId="1" applyFont="1" applyFill="1" applyBorder="1" applyAlignment="1">
      <alignment horizontal="center" vertical="center"/>
    </xf>
    <xf numFmtId="10" fontId="23" fillId="0" borderId="1" xfId="5" applyNumberFormat="1" applyFont="1" applyBorder="1" applyAlignment="1">
      <alignment horizontal="center"/>
    </xf>
    <xf numFmtId="10" fontId="21" fillId="0" borderId="1" xfId="1" applyNumberFormat="1" applyFont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10" fontId="23" fillId="0" borderId="1" xfId="5" applyNumberFormat="1" applyFont="1" applyBorder="1" applyAlignment="1">
      <alignment horizontal="center" vertical="center"/>
    </xf>
  </cellXfs>
  <cellStyles count="7">
    <cellStyle name="Moeda" xfId="3" builtinId="4"/>
    <cellStyle name="Moeda 3" xfId="6"/>
    <cellStyle name="Moeda_Prop149 PG 007 DGP - EXÉRCITO limpeza 2" xfId="4"/>
    <cellStyle name="Normal" xfId="0" builtinId="0"/>
    <cellStyle name="Normal 2" xfId="1"/>
    <cellStyle name="Normal 2 2" xfId="2"/>
    <cellStyle name="Porcentagem 2" xfId="5"/>
  </cellStyles>
  <dxfs count="0"/>
  <tableStyles count="0" defaultTableStyle="TableStyleMedium9" defaultPivotStyle="PivotStyleLight16"/>
  <colors>
    <mruColors>
      <color rgb="FF05C0FB"/>
      <color rgb="FF5BA592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emetro\arquivos\Dirad\Desad\Disap\3%20-%20ADSA\PROJETOS%20B&#193;SICOS\2016\Limpeza%20e%20Conserva&#231;&#227;o\Definitivo\Locais%20de%20Presta&#231;&#227;o%20dos%20Servi&#231;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emetro\arquivos\DAD\ADM-ADSA\PROJETOS%20B&#193;SICOS\2021\Limpeza\Processo%20Or&#231;amento\Custo%20M&#227;o%20de%20Obra%20-%20Planilha%20de%20Composi&#231;&#227;o%20de%20Custo%20-%20Estimativa%20de%20valores%20CONTA%20VINCULAD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ÁREA ÚTIL"/>
    </sheetNames>
    <sheetDataSet>
      <sheetData sheetId="0" refreshError="1">
        <row r="13">
          <cell r="F13">
            <v>12.56</v>
          </cell>
        </row>
        <row r="14">
          <cell r="F14">
            <v>51.63</v>
          </cell>
        </row>
        <row r="15">
          <cell r="F15">
            <v>184.12</v>
          </cell>
        </row>
        <row r="16">
          <cell r="F16">
            <v>158.04</v>
          </cell>
        </row>
        <row r="17">
          <cell r="F17">
            <v>160.93</v>
          </cell>
        </row>
        <row r="18">
          <cell r="F18">
            <v>7.58</v>
          </cell>
        </row>
        <row r="19">
          <cell r="F19">
            <v>32</v>
          </cell>
        </row>
        <row r="20">
          <cell r="F20">
            <v>25.76</v>
          </cell>
        </row>
        <row r="21">
          <cell r="F21">
            <v>7.3</v>
          </cell>
        </row>
        <row r="23">
          <cell r="F23">
            <v>18.239999999999998</v>
          </cell>
        </row>
        <row r="24">
          <cell r="F24">
            <v>15.17</v>
          </cell>
        </row>
        <row r="25">
          <cell r="F25">
            <v>28.57</v>
          </cell>
        </row>
        <row r="26">
          <cell r="F26">
            <v>34.97</v>
          </cell>
        </row>
        <row r="28">
          <cell r="F28">
            <v>18.77</v>
          </cell>
        </row>
        <row r="29">
          <cell r="F29">
            <v>18.77</v>
          </cell>
        </row>
        <row r="31">
          <cell r="F31">
            <v>16.41</v>
          </cell>
        </row>
        <row r="32">
          <cell r="F32">
            <v>58.53</v>
          </cell>
        </row>
        <row r="33">
          <cell r="F33">
            <v>59</v>
          </cell>
        </row>
        <row r="34">
          <cell r="F34">
            <v>42.32</v>
          </cell>
        </row>
        <row r="35">
          <cell r="F35">
            <v>8.67</v>
          </cell>
        </row>
        <row r="36">
          <cell r="F36">
            <v>40.729999999999997</v>
          </cell>
        </row>
        <row r="61">
          <cell r="F61">
            <v>144</v>
          </cell>
        </row>
        <row r="62">
          <cell r="F62">
            <v>166</v>
          </cell>
        </row>
        <row r="63">
          <cell r="F63">
            <v>16</v>
          </cell>
        </row>
        <row r="64">
          <cell r="F64">
            <v>800</v>
          </cell>
        </row>
        <row r="65">
          <cell r="F65">
            <v>156</v>
          </cell>
        </row>
        <row r="66">
          <cell r="F66">
            <v>38</v>
          </cell>
        </row>
        <row r="67">
          <cell r="F67">
            <v>232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usto contratação"/>
      <sheetName val="servente diurno 44h"/>
      <sheetName val="servente diurno 44h seg-sab"/>
      <sheetName val="servente diurno 44h Insalubrida"/>
      <sheetName val="servente diurno 44h Periculosid"/>
      <sheetName val="Encarregado diurno 44h"/>
      <sheetName val="servente noturno 44h"/>
      <sheetName val="Encarregado noturno 44h"/>
      <sheetName val="Copeira 44h"/>
      <sheetName val="Jardineiro 44h"/>
      <sheetName val="Recepcionista 44h"/>
      <sheetName val="Dias"/>
      <sheetName val="Uniformes"/>
      <sheetName val="Conta Vinculada 01"/>
      <sheetName val="Conta Vinculada 02"/>
      <sheetName val="Valor posto + Tributos"/>
      <sheetName val="Plan1"/>
      <sheetName val="Plan2"/>
    </sheetNames>
    <sheetDataSet>
      <sheetData sheetId="0">
        <row r="14">
          <cell r="F14">
            <v>3290.75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201"/>
  <sheetViews>
    <sheetView tabSelected="1" zoomScale="85" zoomScaleNormal="85" workbookViewId="0">
      <pane ySplit="10" topLeftCell="A14" activePane="bottomLeft" state="frozen"/>
      <selection pane="bottomLeft" activeCell="P27" sqref="P27"/>
    </sheetView>
  </sheetViews>
  <sheetFormatPr defaultRowHeight="15"/>
  <cols>
    <col min="1" max="1" width="7.42578125" style="18" customWidth="1"/>
    <col min="2" max="2" width="13.140625" style="18" bestFit="1" customWidth="1"/>
    <col min="3" max="3" width="43.140625" style="18" customWidth="1"/>
    <col min="4" max="4" width="21.5703125" style="18" customWidth="1"/>
    <col min="5" max="8" width="19.42578125" style="18" customWidth="1"/>
    <col min="9" max="9" width="1.7109375" style="18" customWidth="1"/>
    <col min="10" max="10" width="17.42578125" style="18" customWidth="1"/>
    <col min="11" max="20" width="14.7109375" style="18" customWidth="1"/>
    <col min="21" max="22" width="9.140625" style="18"/>
    <col min="23" max="26" width="10.7109375" style="18" bestFit="1" customWidth="1"/>
    <col min="27" max="27" width="9" style="18" bestFit="1" customWidth="1"/>
    <col min="28" max="28" width="17.5703125" style="18" bestFit="1" customWidth="1"/>
    <col min="29" max="29" width="10.28515625" style="18" bestFit="1" customWidth="1"/>
    <col min="30" max="16384" width="9.140625" style="18"/>
  </cols>
  <sheetData>
    <row r="2" spans="2:20" ht="18.75"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4" spans="2:20" ht="17.25">
      <c r="B4" s="193" t="s">
        <v>221</v>
      </c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</row>
    <row r="5" spans="2:20" ht="8.25" customHeight="1"/>
    <row r="6" spans="2:20" ht="24.75" customHeight="1">
      <c r="B6" s="192" t="s">
        <v>81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3"/>
      <c r="O6" s="13"/>
      <c r="P6" s="13"/>
      <c r="Q6" s="13"/>
      <c r="R6" s="13"/>
      <c r="S6" s="19"/>
      <c r="T6" s="20"/>
    </row>
    <row r="7" spans="2:20" ht="18" customHeight="1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9"/>
      <c r="T7" s="20"/>
    </row>
    <row r="8" spans="2:20" ht="23.25" customHeight="1">
      <c r="B8" s="180" t="s">
        <v>41</v>
      </c>
      <c r="C8" s="180"/>
      <c r="D8" s="180"/>
      <c r="E8" s="180"/>
      <c r="F8" s="180"/>
      <c r="G8" s="180"/>
      <c r="H8" s="180"/>
      <c r="I8" s="21"/>
      <c r="J8" s="181" t="s">
        <v>42</v>
      </c>
      <c r="K8" s="182"/>
      <c r="L8" s="182"/>
      <c r="M8" s="183"/>
    </row>
    <row r="9" spans="2:20" ht="23.25" customHeight="1">
      <c r="B9" s="173" t="s">
        <v>4</v>
      </c>
      <c r="C9" s="174" t="s">
        <v>0</v>
      </c>
      <c r="D9" s="174" t="s">
        <v>25</v>
      </c>
      <c r="E9" s="194" t="s">
        <v>33</v>
      </c>
      <c r="F9" s="195"/>
      <c r="G9" s="194" t="s">
        <v>34</v>
      </c>
      <c r="H9" s="195"/>
      <c r="I9" s="21"/>
      <c r="J9" s="145" t="s">
        <v>33</v>
      </c>
      <c r="K9" s="146"/>
      <c r="L9" s="145" t="s">
        <v>34</v>
      </c>
      <c r="M9" s="146"/>
    </row>
    <row r="10" spans="2:20" ht="23.25" customHeight="1">
      <c r="B10" s="173"/>
      <c r="C10" s="174"/>
      <c r="D10" s="174"/>
      <c r="E10" s="145" t="s">
        <v>32</v>
      </c>
      <c r="F10" s="146"/>
      <c r="G10" s="145" t="s">
        <v>32</v>
      </c>
      <c r="H10" s="146"/>
      <c r="I10" s="33"/>
      <c r="J10" s="145" t="s">
        <v>32</v>
      </c>
      <c r="K10" s="146"/>
      <c r="L10" s="145" t="s">
        <v>32</v>
      </c>
      <c r="M10" s="146"/>
      <c r="P10" s="136" t="s">
        <v>227</v>
      </c>
    </row>
    <row r="11" spans="2:20" ht="18" customHeight="1">
      <c r="B11" s="34">
        <v>1</v>
      </c>
      <c r="C11" s="27" t="s">
        <v>2</v>
      </c>
      <c r="D11" s="26">
        <v>3178.3</v>
      </c>
      <c r="E11" s="166" t="e">
        <f>F43</f>
        <v>#VALUE!</v>
      </c>
      <c r="F11" s="167"/>
      <c r="G11" s="142" t="e">
        <f>E11*D11</f>
        <v>#VALUE!</v>
      </c>
      <c r="H11" s="144"/>
      <c r="I11" s="17"/>
      <c r="J11" s="137" t="e">
        <f>L43</f>
        <v>#VALUE!</v>
      </c>
      <c r="K11" s="138"/>
      <c r="L11" s="142" t="e">
        <f>J11*D11</f>
        <v>#VALUE!</v>
      </c>
      <c r="M11" s="144"/>
    </row>
    <row r="12" spans="2:20" ht="18" customHeight="1">
      <c r="B12" s="34">
        <v>2</v>
      </c>
      <c r="C12" s="27" t="s">
        <v>5</v>
      </c>
      <c r="D12" s="26">
        <v>4941.49</v>
      </c>
      <c r="E12" s="166" t="e">
        <f t="shared" ref="E12:E37" si="0">E$11</f>
        <v>#VALUE!</v>
      </c>
      <c r="F12" s="167"/>
      <c r="G12" s="142" t="e">
        <f t="shared" ref="G12:G37" si="1">E12*D12</f>
        <v>#VALUE!</v>
      </c>
      <c r="H12" s="144"/>
      <c r="I12" s="17"/>
      <c r="J12" s="137" t="e">
        <f t="shared" ref="J12:J37" si="2">J$11</f>
        <v>#VALUE!</v>
      </c>
      <c r="K12" s="138"/>
      <c r="L12" s="142" t="e">
        <f t="shared" ref="L12:L37" si="3">J12*D12</f>
        <v>#VALUE!</v>
      </c>
      <c r="M12" s="144"/>
    </row>
    <row r="13" spans="2:20" ht="18" customHeight="1">
      <c r="B13" s="34">
        <v>3</v>
      </c>
      <c r="C13" s="27" t="s">
        <v>77</v>
      </c>
      <c r="D13" s="26">
        <f>4244.85</f>
        <v>4244.8500000000004</v>
      </c>
      <c r="E13" s="166" t="e">
        <f t="shared" si="0"/>
        <v>#VALUE!</v>
      </c>
      <c r="F13" s="167"/>
      <c r="G13" s="142" t="e">
        <f t="shared" si="1"/>
        <v>#VALUE!</v>
      </c>
      <c r="H13" s="144"/>
      <c r="I13" s="17"/>
      <c r="J13" s="137" t="e">
        <f t="shared" si="2"/>
        <v>#VALUE!</v>
      </c>
      <c r="K13" s="138"/>
      <c r="L13" s="142" t="e">
        <f t="shared" si="3"/>
        <v>#VALUE!</v>
      </c>
      <c r="M13" s="144"/>
    </row>
    <row r="14" spans="2:20" ht="18" customHeight="1">
      <c r="B14" s="34">
        <v>4</v>
      </c>
      <c r="C14" s="27" t="s">
        <v>83</v>
      </c>
      <c r="D14" s="26">
        <v>4041</v>
      </c>
      <c r="E14" s="166" t="e">
        <f t="shared" si="0"/>
        <v>#VALUE!</v>
      </c>
      <c r="F14" s="167"/>
      <c r="G14" s="142" t="e">
        <f t="shared" ref="G14:G16" si="4">E14*D14</f>
        <v>#VALUE!</v>
      </c>
      <c r="H14" s="144"/>
      <c r="I14" s="17"/>
      <c r="J14" s="137" t="e">
        <f t="shared" si="2"/>
        <v>#VALUE!</v>
      </c>
      <c r="K14" s="138"/>
      <c r="L14" s="142" t="e">
        <f t="shared" ref="L14:L16" si="5">J14*D14</f>
        <v>#VALUE!</v>
      </c>
      <c r="M14" s="144"/>
    </row>
    <row r="15" spans="2:20" ht="18" customHeight="1">
      <c r="B15" s="34">
        <v>5</v>
      </c>
      <c r="C15" s="27" t="s">
        <v>78</v>
      </c>
      <c r="D15" s="26">
        <f>4217.67</f>
        <v>4217.67</v>
      </c>
      <c r="E15" s="166" t="e">
        <f t="shared" si="0"/>
        <v>#VALUE!</v>
      </c>
      <c r="F15" s="167"/>
      <c r="G15" s="142" t="e">
        <f t="shared" si="4"/>
        <v>#VALUE!</v>
      </c>
      <c r="H15" s="144"/>
      <c r="I15" s="17"/>
      <c r="J15" s="137" t="e">
        <f t="shared" si="2"/>
        <v>#VALUE!</v>
      </c>
      <c r="K15" s="138"/>
      <c r="L15" s="142" t="e">
        <f t="shared" si="5"/>
        <v>#VALUE!</v>
      </c>
      <c r="M15" s="144"/>
    </row>
    <row r="16" spans="2:20" ht="18" customHeight="1">
      <c r="B16" s="34">
        <v>6</v>
      </c>
      <c r="C16" s="27" t="s">
        <v>84</v>
      </c>
      <c r="D16" s="26">
        <v>3985.62</v>
      </c>
      <c r="E16" s="166" t="e">
        <f t="shared" si="0"/>
        <v>#VALUE!</v>
      </c>
      <c r="F16" s="167"/>
      <c r="G16" s="142" t="e">
        <f t="shared" si="4"/>
        <v>#VALUE!</v>
      </c>
      <c r="H16" s="144"/>
      <c r="I16" s="17"/>
      <c r="J16" s="137" t="e">
        <f t="shared" si="2"/>
        <v>#VALUE!</v>
      </c>
      <c r="K16" s="138"/>
      <c r="L16" s="142" t="e">
        <f t="shared" si="5"/>
        <v>#VALUE!</v>
      </c>
      <c r="M16" s="144"/>
    </row>
    <row r="17" spans="2:13" ht="18" customHeight="1">
      <c r="B17" s="34">
        <v>7</v>
      </c>
      <c r="C17" s="27" t="s">
        <v>79</v>
      </c>
      <c r="D17" s="26">
        <f>4269.53</f>
        <v>4269.53</v>
      </c>
      <c r="E17" s="166" t="e">
        <f t="shared" si="0"/>
        <v>#VALUE!</v>
      </c>
      <c r="F17" s="167"/>
      <c r="G17" s="142" t="e">
        <f t="shared" si="1"/>
        <v>#VALUE!</v>
      </c>
      <c r="H17" s="144"/>
      <c r="I17" s="17"/>
      <c r="J17" s="137" t="e">
        <f t="shared" si="2"/>
        <v>#VALUE!</v>
      </c>
      <c r="K17" s="138"/>
      <c r="L17" s="142" t="e">
        <f t="shared" si="3"/>
        <v>#VALUE!</v>
      </c>
      <c r="M17" s="144"/>
    </row>
    <row r="18" spans="2:13" ht="18" customHeight="1">
      <c r="B18" s="34">
        <v>8</v>
      </c>
      <c r="C18" s="27" t="s">
        <v>80</v>
      </c>
      <c r="D18" s="26">
        <f>4196.46</f>
        <v>4196.46</v>
      </c>
      <c r="E18" s="166" t="e">
        <f t="shared" si="0"/>
        <v>#VALUE!</v>
      </c>
      <c r="F18" s="167"/>
      <c r="G18" s="142" t="e">
        <f t="shared" si="1"/>
        <v>#VALUE!</v>
      </c>
      <c r="H18" s="144"/>
      <c r="I18" s="17"/>
      <c r="J18" s="137" t="e">
        <f t="shared" si="2"/>
        <v>#VALUE!</v>
      </c>
      <c r="K18" s="138"/>
      <c r="L18" s="142" t="e">
        <f t="shared" si="3"/>
        <v>#VALUE!</v>
      </c>
      <c r="M18" s="144"/>
    </row>
    <row r="19" spans="2:13" ht="18" customHeight="1">
      <c r="B19" s="34">
        <v>9</v>
      </c>
      <c r="C19" s="27" t="s">
        <v>8</v>
      </c>
      <c r="D19" s="26">
        <v>1519.27</v>
      </c>
      <c r="E19" s="166" t="e">
        <f t="shared" si="0"/>
        <v>#VALUE!</v>
      </c>
      <c r="F19" s="167"/>
      <c r="G19" s="142" t="e">
        <f t="shared" si="1"/>
        <v>#VALUE!</v>
      </c>
      <c r="H19" s="144"/>
      <c r="I19" s="17"/>
      <c r="J19" s="137" t="e">
        <f t="shared" si="2"/>
        <v>#VALUE!</v>
      </c>
      <c r="K19" s="138"/>
      <c r="L19" s="142" t="e">
        <f t="shared" si="3"/>
        <v>#VALUE!</v>
      </c>
      <c r="M19" s="144"/>
    </row>
    <row r="20" spans="2:13" ht="18" customHeight="1">
      <c r="B20" s="34">
        <v>10</v>
      </c>
      <c r="C20" s="27" t="s">
        <v>9</v>
      </c>
      <c r="D20" s="26">
        <f>2517.09+324.4</f>
        <v>2841.4900000000002</v>
      </c>
      <c r="E20" s="166" t="e">
        <f t="shared" si="0"/>
        <v>#VALUE!</v>
      </c>
      <c r="F20" s="167"/>
      <c r="G20" s="142" t="e">
        <f t="shared" si="1"/>
        <v>#VALUE!</v>
      </c>
      <c r="H20" s="144"/>
      <c r="I20" s="17"/>
      <c r="J20" s="137" t="e">
        <f t="shared" si="2"/>
        <v>#VALUE!</v>
      </c>
      <c r="K20" s="138"/>
      <c r="L20" s="142" t="e">
        <f t="shared" si="3"/>
        <v>#VALUE!</v>
      </c>
      <c r="M20" s="144"/>
    </row>
    <row r="21" spans="2:13" ht="18" customHeight="1">
      <c r="B21" s="34">
        <v>11</v>
      </c>
      <c r="C21" s="27" t="s">
        <v>10</v>
      </c>
      <c r="D21" s="26">
        <v>1280.74</v>
      </c>
      <c r="E21" s="166" t="e">
        <f t="shared" si="0"/>
        <v>#VALUE!</v>
      </c>
      <c r="F21" s="167"/>
      <c r="G21" s="142" t="e">
        <f t="shared" si="1"/>
        <v>#VALUE!</v>
      </c>
      <c r="H21" s="144"/>
      <c r="I21" s="17"/>
      <c r="J21" s="137" t="e">
        <f t="shared" si="2"/>
        <v>#VALUE!</v>
      </c>
      <c r="K21" s="138"/>
      <c r="L21" s="142" t="e">
        <f t="shared" si="3"/>
        <v>#VALUE!</v>
      </c>
      <c r="M21" s="144"/>
    </row>
    <row r="22" spans="2:13" ht="18" customHeight="1">
      <c r="B22" s="34">
        <v>12</v>
      </c>
      <c r="C22" s="27" t="s">
        <v>11</v>
      </c>
      <c r="D22" s="26">
        <v>1835.51</v>
      </c>
      <c r="E22" s="166" t="e">
        <f t="shared" si="0"/>
        <v>#VALUE!</v>
      </c>
      <c r="F22" s="167"/>
      <c r="G22" s="142" t="e">
        <f t="shared" si="1"/>
        <v>#VALUE!</v>
      </c>
      <c r="H22" s="144"/>
      <c r="I22" s="17"/>
      <c r="J22" s="137" t="e">
        <f t="shared" si="2"/>
        <v>#VALUE!</v>
      </c>
      <c r="K22" s="138"/>
      <c r="L22" s="142" t="e">
        <f t="shared" si="3"/>
        <v>#VALUE!</v>
      </c>
      <c r="M22" s="144"/>
    </row>
    <row r="23" spans="2:13" ht="18" customHeight="1">
      <c r="B23" s="34">
        <v>13</v>
      </c>
      <c r="C23" s="27" t="s">
        <v>12</v>
      </c>
      <c r="D23" s="26">
        <v>1404.32</v>
      </c>
      <c r="E23" s="166" t="e">
        <f t="shared" si="0"/>
        <v>#VALUE!</v>
      </c>
      <c r="F23" s="167"/>
      <c r="G23" s="142" t="e">
        <f t="shared" si="1"/>
        <v>#VALUE!</v>
      </c>
      <c r="H23" s="144"/>
      <c r="I23" s="17"/>
      <c r="J23" s="137" t="e">
        <f t="shared" si="2"/>
        <v>#VALUE!</v>
      </c>
      <c r="K23" s="138"/>
      <c r="L23" s="142" t="e">
        <f t="shared" si="3"/>
        <v>#VALUE!</v>
      </c>
      <c r="M23" s="144"/>
    </row>
    <row r="24" spans="2:13" ht="18" customHeight="1">
      <c r="B24" s="34">
        <v>14</v>
      </c>
      <c r="C24" s="27" t="s">
        <v>13</v>
      </c>
      <c r="D24" s="26">
        <v>2698.23</v>
      </c>
      <c r="E24" s="166" t="e">
        <f t="shared" si="0"/>
        <v>#VALUE!</v>
      </c>
      <c r="F24" s="167"/>
      <c r="G24" s="142" t="e">
        <f t="shared" si="1"/>
        <v>#VALUE!</v>
      </c>
      <c r="H24" s="144"/>
      <c r="I24" s="17"/>
      <c r="J24" s="137" t="e">
        <f t="shared" si="2"/>
        <v>#VALUE!</v>
      </c>
      <c r="K24" s="138"/>
      <c r="L24" s="142" t="e">
        <f t="shared" si="3"/>
        <v>#VALUE!</v>
      </c>
      <c r="M24" s="144"/>
    </row>
    <row r="25" spans="2:13" ht="18" customHeight="1">
      <c r="B25" s="34">
        <v>15</v>
      </c>
      <c r="C25" s="27" t="s">
        <v>18</v>
      </c>
      <c r="D25" s="26">
        <v>1404.32</v>
      </c>
      <c r="E25" s="166" t="e">
        <f t="shared" si="0"/>
        <v>#VALUE!</v>
      </c>
      <c r="F25" s="167"/>
      <c r="G25" s="142" t="e">
        <f t="shared" si="1"/>
        <v>#VALUE!</v>
      </c>
      <c r="H25" s="144"/>
      <c r="I25" s="17"/>
      <c r="J25" s="137" t="e">
        <f t="shared" si="2"/>
        <v>#VALUE!</v>
      </c>
      <c r="K25" s="138"/>
      <c r="L25" s="142" t="e">
        <f t="shared" si="3"/>
        <v>#VALUE!</v>
      </c>
      <c r="M25" s="144"/>
    </row>
    <row r="26" spans="2:13" ht="18" customHeight="1">
      <c r="B26" s="34">
        <v>16</v>
      </c>
      <c r="C26" s="27" t="s">
        <v>19</v>
      </c>
      <c r="D26" s="26">
        <v>3246.19</v>
      </c>
      <c r="E26" s="166" t="e">
        <f t="shared" si="0"/>
        <v>#VALUE!</v>
      </c>
      <c r="F26" s="167"/>
      <c r="G26" s="142" t="e">
        <f t="shared" si="1"/>
        <v>#VALUE!</v>
      </c>
      <c r="H26" s="144"/>
      <c r="I26" s="17"/>
      <c r="J26" s="137" t="e">
        <f t="shared" si="2"/>
        <v>#VALUE!</v>
      </c>
      <c r="K26" s="138"/>
      <c r="L26" s="142" t="e">
        <f t="shared" si="3"/>
        <v>#VALUE!</v>
      </c>
      <c r="M26" s="144"/>
    </row>
    <row r="27" spans="2:13" ht="18" customHeight="1">
      <c r="B27" s="34">
        <v>17</v>
      </c>
      <c r="C27" s="27" t="s">
        <v>85</v>
      </c>
      <c r="D27" s="17">
        <v>1372</v>
      </c>
      <c r="E27" s="166" t="e">
        <f t="shared" si="0"/>
        <v>#VALUE!</v>
      </c>
      <c r="F27" s="167"/>
      <c r="G27" s="142" t="e">
        <f t="shared" ref="G27" si="6">E27*D27</f>
        <v>#VALUE!</v>
      </c>
      <c r="H27" s="144"/>
      <c r="I27" s="17"/>
      <c r="J27" s="137" t="e">
        <f t="shared" si="2"/>
        <v>#VALUE!</v>
      </c>
      <c r="K27" s="138"/>
      <c r="L27" s="142" t="e">
        <f t="shared" ref="L27" si="7">J27*D27</f>
        <v>#VALUE!</v>
      </c>
      <c r="M27" s="144"/>
    </row>
    <row r="28" spans="2:13" ht="18" customHeight="1">
      <c r="B28" s="34">
        <v>18</v>
      </c>
      <c r="C28" s="27" t="s">
        <v>20</v>
      </c>
      <c r="D28" s="26">
        <v>1599.79</v>
      </c>
      <c r="E28" s="166" t="e">
        <f t="shared" si="0"/>
        <v>#VALUE!</v>
      </c>
      <c r="F28" s="167"/>
      <c r="G28" s="142" t="e">
        <f t="shared" si="1"/>
        <v>#VALUE!</v>
      </c>
      <c r="H28" s="144"/>
      <c r="I28" s="17"/>
      <c r="J28" s="137" t="e">
        <f t="shared" si="2"/>
        <v>#VALUE!</v>
      </c>
      <c r="K28" s="138"/>
      <c r="L28" s="142" t="e">
        <f t="shared" si="3"/>
        <v>#VALUE!</v>
      </c>
      <c r="M28" s="144"/>
    </row>
    <row r="29" spans="2:13" ht="18" customHeight="1">
      <c r="B29" s="34">
        <v>19</v>
      </c>
      <c r="C29" s="27" t="s">
        <v>14</v>
      </c>
      <c r="D29" s="26">
        <v>1496.78</v>
      </c>
      <c r="E29" s="166" t="e">
        <f t="shared" si="0"/>
        <v>#VALUE!</v>
      </c>
      <c r="F29" s="167"/>
      <c r="G29" s="142" t="e">
        <f t="shared" si="1"/>
        <v>#VALUE!</v>
      </c>
      <c r="H29" s="144"/>
      <c r="I29" s="17"/>
      <c r="J29" s="137" t="e">
        <f t="shared" si="2"/>
        <v>#VALUE!</v>
      </c>
      <c r="K29" s="138"/>
      <c r="L29" s="142" t="e">
        <f t="shared" si="3"/>
        <v>#VALUE!</v>
      </c>
      <c r="M29" s="144"/>
    </row>
    <row r="30" spans="2:13" ht="18" customHeight="1">
      <c r="B30" s="34">
        <v>20</v>
      </c>
      <c r="C30" s="27" t="s">
        <v>15</v>
      </c>
      <c r="D30" s="26">
        <v>1496.12</v>
      </c>
      <c r="E30" s="166" t="e">
        <f t="shared" si="0"/>
        <v>#VALUE!</v>
      </c>
      <c r="F30" s="167"/>
      <c r="G30" s="142" t="e">
        <f t="shared" si="1"/>
        <v>#VALUE!</v>
      </c>
      <c r="H30" s="144"/>
      <c r="I30" s="17"/>
      <c r="J30" s="137" t="e">
        <f t="shared" si="2"/>
        <v>#VALUE!</v>
      </c>
      <c r="K30" s="138"/>
      <c r="L30" s="142" t="e">
        <f t="shared" si="3"/>
        <v>#VALUE!</v>
      </c>
      <c r="M30" s="144"/>
    </row>
    <row r="31" spans="2:13" ht="18" customHeight="1">
      <c r="B31" s="34">
        <v>21</v>
      </c>
      <c r="C31" s="27" t="s">
        <v>16</v>
      </c>
      <c r="D31" s="26">
        <v>1364.77</v>
      </c>
      <c r="E31" s="166" t="e">
        <f t="shared" si="0"/>
        <v>#VALUE!</v>
      </c>
      <c r="F31" s="167"/>
      <c r="G31" s="142" t="e">
        <f t="shared" si="1"/>
        <v>#VALUE!</v>
      </c>
      <c r="H31" s="144"/>
      <c r="I31" s="17"/>
      <c r="J31" s="137" t="e">
        <f t="shared" si="2"/>
        <v>#VALUE!</v>
      </c>
      <c r="K31" s="138"/>
      <c r="L31" s="142" t="e">
        <f t="shared" si="3"/>
        <v>#VALUE!</v>
      </c>
      <c r="M31" s="144"/>
    </row>
    <row r="32" spans="2:13" ht="18" customHeight="1">
      <c r="B32" s="34">
        <v>22</v>
      </c>
      <c r="C32" s="27" t="s">
        <v>17</v>
      </c>
      <c r="D32" s="26">
        <v>3167.39</v>
      </c>
      <c r="E32" s="166" t="e">
        <f t="shared" si="0"/>
        <v>#VALUE!</v>
      </c>
      <c r="F32" s="167"/>
      <c r="G32" s="142" t="e">
        <f t="shared" si="1"/>
        <v>#VALUE!</v>
      </c>
      <c r="H32" s="144"/>
      <c r="I32" s="17"/>
      <c r="J32" s="137" t="e">
        <f t="shared" si="2"/>
        <v>#VALUE!</v>
      </c>
      <c r="K32" s="138"/>
      <c r="L32" s="142" t="e">
        <f t="shared" si="3"/>
        <v>#VALUE!</v>
      </c>
      <c r="M32" s="144"/>
    </row>
    <row r="33" spans="2:20" ht="18" customHeight="1">
      <c r="B33" s="34">
        <v>23</v>
      </c>
      <c r="C33" s="27" t="s">
        <v>21</v>
      </c>
      <c r="D33" s="26">
        <v>1275.46</v>
      </c>
      <c r="E33" s="166" t="e">
        <f t="shared" si="0"/>
        <v>#VALUE!</v>
      </c>
      <c r="F33" s="167"/>
      <c r="G33" s="142" t="e">
        <f t="shared" si="1"/>
        <v>#VALUE!</v>
      </c>
      <c r="H33" s="144"/>
      <c r="I33" s="17"/>
      <c r="J33" s="137" t="e">
        <f t="shared" si="2"/>
        <v>#VALUE!</v>
      </c>
      <c r="K33" s="138"/>
      <c r="L33" s="142" t="e">
        <f t="shared" si="3"/>
        <v>#VALUE!</v>
      </c>
      <c r="M33" s="144"/>
    </row>
    <row r="34" spans="2:20" ht="18" customHeight="1">
      <c r="B34" s="34">
        <v>24</v>
      </c>
      <c r="C34" s="27" t="s">
        <v>22</v>
      </c>
      <c r="D34" s="26">
        <v>1348.88</v>
      </c>
      <c r="E34" s="166" t="e">
        <f t="shared" si="0"/>
        <v>#VALUE!</v>
      </c>
      <c r="F34" s="167"/>
      <c r="G34" s="142" t="e">
        <f t="shared" si="1"/>
        <v>#VALUE!</v>
      </c>
      <c r="H34" s="144"/>
      <c r="I34" s="17"/>
      <c r="J34" s="137" t="e">
        <f t="shared" si="2"/>
        <v>#VALUE!</v>
      </c>
      <c r="K34" s="138"/>
      <c r="L34" s="142" t="e">
        <f t="shared" si="3"/>
        <v>#VALUE!</v>
      </c>
      <c r="M34" s="144"/>
    </row>
    <row r="35" spans="2:20" ht="18" customHeight="1">
      <c r="B35" s="34">
        <v>25</v>
      </c>
      <c r="C35" s="27" t="s">
        <v>72</v>
      </c>
      <c r="D35" s="26">
        <v>2146.21</v>
      </c>
      <c r="E35" s="166" t="e">
        <f t="shared" si="0"/>
        <v>#VALUE!</v>
      </c>
      <c r="F35" s="167"/>
      <c r="G35" s="142" t="e">
        <f t="shared" si="1"/>
        <v>#VALUE!</v>
      </c>
      <c r="H35" s="144"/>
      <c r="I35" s="17"/>
      <c r="J35" s="137" t="e">
        <f t="shared" si="2"/>
        <v>#VALUE!</v>
      </c>
      <c r="K35" s="138"/>
      <c r="L35" s="142" t="e">
        <f t="shared" si="3"/>
        <v>#VALUE!</v>
      </c>
      <c r="M35" s="144"/>
    </row>
    <row r="36" spans="2:20" ht="18" customHeight="1">
      <c r="B36" s="34">
        <v>26</v>
      </c>
      <c r="C36" s="27" t="s">
        <v>23</v>
      </c>
      <c r="D36" s="26">
        <v>1266.6199999999999</v>
      </c>
      <c r="E36" s="166" t="e">
        <f t="shared" si="0"/>
        <v>#VALUE!</v>
      </c>
      <c r="F36" s="167"/>
      <c r="G36" s="142" t="e">
        <f t="shared" si="1"/>
        <v>#VALUE!</v>
      </c>
      <c r="H36" s="144"/>
      <c r="I36" s="17"/>
      <c r="J36" s="137" t="e">
        <f t="shared" si="2"/>
        <v>#VALUE!</v>
      </c>
      <c r="K36" s="138"/>
      <c r="L36" s="142" t="e">
        <f t="shared" si="3"/>
        <v>#VALUE!</v>
      </c>
      <c r="M36" s="144"/>
    </row>
    <row r="37" spans="2:20" ht="18" customHeight="1">
      <c r="B37" s="34">
        <v>27</v>
      </c>
      <c r="C37" s="27" t="s">
        <v>24</v>
      </c>
      <c r="D37" s="26">
        <v>2819.99</v>
      </c>
      <c r="E37" s="166" t="e">
        <f t="shared" si="0"/>
        <v>#VALUE!</v>
      </c>
      <c r="F37" s="167"/>
      <c r="G37" s="142" t="e">
        <f t="shared" si="1"/>
        <v>#VALUE!</v>
      </c>
      <c r="H37" s="144"/>
      <c r="I37" s="17"/>
      <c r="J37" s="137" t="e">
        <f t="shared" si="2"/>
        <v>#VALUE!</v>
      </c>
      <c r="K37" s="138"/>
      <c r="L37" s="142" t="e">
        <f t="shared" si="3"/>
        <v>#VALUE!</v>
      </c>
      <c r="M37" s="144"/>
    </row>
    <row r="38" spans="2:20" ht="18" customHeight="1">
      <c r="B38" s="34" t="s">
        <v>113</v>
      </c>
      <c r="C38" s="56" t="s">
        <v>114</v>
      </c>
      <c r="D38" s="56">
        <f>SUM(D11:D37)</f>
        <v>68659</v>
      </c>
      <c r="E38" s="166"/>
      <c r="F38" s="167"/>
      <c r="G38" s="139" t="e">
        <f>SUM(G11:H37)</f>
        <v>#VALUE!</v>
      </c>
      <c r="H38" s="141"/>
      <c r="I38" s="17"/>
      <c r="J38" s="137"/>
      <c r="K38" s="138"/>
      <c r="L38" s="139" t="e">
        <f>SUM(L11:M37)</f>
        <v>#VALUE!</v>
      </c>
      <c r="M38" s="141"/>
      <c r="N38" s="22"/>
      <c r="O38" s="22"/>
      <c r="P38" s="22"/>
      <c r="Q38" s="22"/>
      <c r="R38" s="22"/>
      <c r="S38" s="22"/>
      <c r="T38" s="22"/>
    </row>
    <row r="39" spans="2:20">
      <c r="C39" s="95" t="s">
        <v>215</v>
      </c>
      <c r="D39" s="22"/>
      <c r="E39" s="22"/>
      <c r="F39" s="22"/>
      <c r="G39" s="24"/>
      <c r="H39" s="24"/>
      <c r="I39" s="4"/>
      <c r="J39" s="22"/>
      <c r="K39" s="22"/>
      <c r="L39" s="5"/>
      <c r="M39" s="5"/>
      <c r="N39" s="22"/>
      <c r="O39" s="22"/>
      <c r="P39" s="22"/>
      <c r="Q39" s="22"/>
      <c r="R39" s="22"/>
      <c r="S39" s="22"/>
      <c r="T39" s="22"/>
    </row>
    <row r="40" spans="2:20">
      <c r="C40" s="23"/>
      <c r="D40" s="22"/>
      <c r="E40" s="22"/>
      <c r="F40" s="22"/>
      <c r="G40" s="22"/>
      <c r="H40" s="22"/>
      <c r="I40" s="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2:20" ht="16.5" customHeight="1">
      <c r="C41" s="23"/>
      <c r="D41" s="168" t="s">
        <v>28</v>
      </c>
      <c r="E41" s="184" t="s">
        <v>29</v>
      </c>
      <c r="F41" s="185"/>
      <c r="G41" s="22"/>
      <c r="J41" s="168" t="s">
        <v>28</v>
      </c>
      <c r="K41" s="184" t="s">
        <v>29</v>
      </c>
      <c r="L41" s="185"/>
      <c r="M41" s="22"/>
      <c r="N41" s="22"/>
      <c r="O41" s="22"/>
      <c r="P41" s="22"/>
      <c r="Q41" s="22"/>
    </row>
    <row r="42" spans="2:20" ht="16.5" customHeight="1">
      <c r="C42" s="23"/>
      <c r="D42" s="169"/>
      <c r="E42" s="186" t="s">
        <v>222</v>
      </c>
      <c r="F42" s="187"/>
      <c r="G42" s="22"/>
      <c r="J42" s="169"/>
      <c r="K42" s="186" t="s">
        <v>222</v>
      </c>
      <c r="L42" s="187"/>
      <c r="M42" s="22"/>
      <c r="N42" s="22"/>
      <c r="O42" s="22"/>
      <c r="P42" s="22"/>
      <c r="Q42" s="22"/>
    </row>
    <row r="43" spans="2:20" ht="16.5" customHeight="1">
      <c r="C43" s="23"/>
      <c r="D43" s="168" t="s">
        <v>32</v>
      </c>
      <c r="E43" s="6" t="s">
        <v>31</v>
      </c>
      <c r="F43" s="170" t="e">
        <f>1/E44</f>
        <v>#VALUE!</v>
      </c>
      <c r="G43" s="22"/>
      <c r="J43" s="168" t="s">
        <v>32</v>
      </c>
      <c r="K43" s="6" t="s">
        <v>31</v>
      </c>
      <c r="L43" s="170" t="e">
        <f>1/K44</f>
        <v>#VALUE!</v>
      </c>
      <c r="M43" s="22"/>
      <c r="N43" s="22"/>
      <c r="O43" s="22"/>
      <c r="P43" s="22"/>
      <c r="Q43" s="22"/>
    </row>
    <row r="44" spans="2:20" ht="16.5" customHeight="1">
      <c r="C44" s="23"/>
      <c r="D44" s="169"/>
      <c r="E44" s="125" t="s">
        <v>220</v>
      </c>
      <c r="F44" s="171"/>
      <c r="G44" s="22"/>
      <c r="J44" s="169"/>
      <c r="K44" s="125" t="s">
        <v>220</v>
      </c>
      <c r="L44" s="171"/>
      <c r="M44" s="22"/>
      <c r="N44" s="22"/>
      <c r="O44" s="22"/>
      <c r="P44" s="22"/>
      <c r="Q44" s="22"/>
    </row>
    <row r="45" spans="2:20">
      <c r="C45" s="23"/>
      <c r="D45" s="22"/>
      <c r="E45" s="22"/>
      <c r="F45" s="22"/>
      <c r="G45" s="22"/>
      <c r="H45" s="22"/>
      <c r="I45" s="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2:20">
      <c r="C46" s="23"/>
      <c r="D46" s="22"/>
      <c r="E46" s="22"/>
      <c r="F46" s="22"/>
      <c r="G46" s="22"/>
      <c r="H46" s="22"/>
      <c r="I46" s="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2:20">
      <c r="C47" s="23"/>
      <c r="D47" s="22"/>
      <c r="E47" s="22"/>
      <c r="F47" s="22"/>
      <c r="G47" s="22"/>
      <c r="H47" s="22"/>
      <c r="I47" s="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2:20">
      <c r="C48" s="23"/>
      <c r="D48" s="22"/>
      <c r="E48" s="22"/>
      <c r="F48" s="22"/>
      <c r="G48" s="22"/>
      <c r="H48" s="22"/>
      <c r="I48" s="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2:20" ht="15.75">
      <c r="B49" s="179" t="s">
        <v>82</v>
      </c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22"/>
      <c r="O49" s="22"/>
      <c r="P49" s="22"/>
      <c r="Q49" s="22"/>
      <c r="R49" s="22"/>
      <c r="S49" s="22"/>
      <c r="T49" s="22"/>
    </row>
    <row r="50" spans="2:20">
      <c r="C50" s="23"/>
      <c r="D50" s="22"/>
      <c r="E50" s="22"/>
      <c r="F50" s="22"/>
      <c r="G50" s="22"/>
      <c r="H50" s="22"/>
      <c r="I50" s="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2:20">
      <c r="C51" s="23"/>
      <c r="E51" s="22"/>
      <c r="F51" s="22"/>
      <c r="G51" s="22"/>
      <c r="H51" s="22"/>
      <c r="I51" s="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2:20" ht="23.25" customHeight="1">
      <c r="B52" s="180" t="s">
        <v>48</v>
      </c>
      <c r="C52" s="180"/>
      <c r="D52" s="180"/>
      <c r="E52" s="180"/>
      <c r="F52" s="180"/>
      <c r="G52" s="180"/>
      <c r="H52" s="180"/>
      <c r="I52" s="11"/>
      <c r="J52" s="180" t="s">
        <v>42</v>
      </c>
      <c r="K52" s="180"/>
      <c r="L52" s="180"/>
      <c r="M52" s="180"/>
      <c r="N52" s="22"/>
      <c r="O52" s="22"/>
      <c r="P52" s="22"/>
      <c r="Q52" s="22"/>
      <c r="R52" s="22"/>
      <c r="S52" s="22"/>
      <c r="T52" s="22"/>
    </row>
    <row r="53" spans="2:20" ht="23.25" customHeight="1">
      <c r="B53" s="174" t="s">
        <v>4</v>
      </c>
      <c r="C53" s="174" t="s">
        <v>0</v>
      </c>
      <c r="D53" s="175" t="s">
        <v>26</v>
      </c>
      <c r="E53" s="175" t="s">
        <v>33</v>
      </c>
      <c r="F53" s="175"/>
      <c r="G53" s="175" t="s">
        <v>34</v>
      </c>
      <c r="H53" s="175"/>
      <c r="I53" s="2"/>
      <c r="J53" s="175" t="s">
        <v>33</v>
      </c>
      <c r="K53" s="175"/>
      <c r="L53" s="175" t="s">
        <v>34</v>
      </c>
      <c r="M53" s="175"/>
      <c r="N53" s="22"/>
      <c r="O53" s="22"/>
      <c r="P53" s="22"/>
      <c r="Q53" s="22"/>
      <c r="R53" s="22"/>
      <c r="S53" s="22"/>
      <c r="T53" s="22"/>
    </row>
    <row r="54" spans="2:20" ht="23.25" customHeight="1">
      <c r="B54" s="174"/>
      <c r="C54" s="174"/>
      <c r="D54" s="175"/>
      <c r="E54" s="145" t="s">
        <v>32</v>
      </c>
      <c r="F54" s="146"/>
      <c r="G54" s="145" t="s">
        <v>32</v>
      </c>
      <c r="H54" s="146"/>
      <c r="I54" s="2"/>
      <c r="J54" s="145" t="s">
        <v>32</v>
      </c>
      <c r="K54" s="146"/>
      <c r="L54" s="145" t="s">
        <v>32</v>
      </c>
      <c r="M54" s="146"/>
      <c r="N54" s="22"/>
      <c r="O54" s="22"/>
      <c r="P54" s="22"/>
      <c r="Q54" s="22"/>
      <c r="R54" s="22"/>
      <c r="S54" s="22"/>
      <c r="T54" s="22"/>
    </row>
    <row r="55" spans="2:20" ht="18" customHeight="1">
      <c r="B55" s="26">
        <v>1</v>
      </c>
      <c r="C55" s="27" t="s">
        <v>2</v>
      </c>
      <c r="D55" s="26">
        <v>0</v>
      </c>
      <c r="E55" s="166" t="e">
        <f>F89</f>
        <v>#VALUE!</v>
      </c>
      <c r="F55" s="167"/>
      <c r="G55" s="142" t="e">
        <f>E55*D55</f>
        <v>#VALUE!</v>
      </c>
      <c r="H55" s="144"/>
      <c r="I55" s="28"/>
      <c r="J55" s="166" t="e">
        <f>L89</f>
        <v>#VALUE!</v>
      </c>
      <c r="K55" s="167"/>
      <c r="L55" s="142" t="e">
        <f>J55*D55</f>
        <v>#VALUE!</v>
      </c>
      <c r="M55" s="144"/>
      <c r="N55" s="22"/>
      <c r="O55" s="22"/>
      <c r="P55" s="22"/>
      <c r="Q55" s="22"/>
      <c r="R55" s="22"/>
      <c r="S55" s="22"/>
      <c r="T55" s="22"/>
    </row>
    <row r="56" spans="2:20" ht="18" customHeight="1">
      <c r="B56" s="26">
        <v>2</v>
      </c>
      <c r="C56" s="27" t="s">
        <v>5</v>
      </c>
      <c r="D56" s="26">
        <v>613.23</v>
      </c>
      <c r="E56" s="166" t="e">
        <f>E$55</f>
        <v>#VALUE!</v>
      </c>
      <c r="F56" s="167"/>
      <c r="G56" s="142" t="e">
        <f t="shared" ref="G56:G81" si="8">E56*D56</f>
        <v>#VALUE!</v>
      </c>
      <c r="H56" s="144"/>
      <c r="I56" s="28"/>
      <c r="J56" s="166" t="e">
        <f t="shared" ref="J56:J81" si="9">J$55</f>
        <v>#VALUE!</v>
      </c>
      <c r="K56" s="167"/>
      <c r="L56" s="142" t="e">
        <f t="shared" ref="L56:L81" si="10">J56*D56</f>
        <v>#VALUE!</v>
      </c>
      <c r="M56" s="144"/>
      <c r="N56" s="22"/>
      <c r="O56" s="22"/>
      <c r="P56" s="22"/>
      <c r="Q56" s="22"/>
      <c r="R56" s="22"/>
      <c r="S56" s="22"/>
      <c r="T56" s="22"/>
    </row>
    <row r="57" spans="2:20" ht="18" customHeight="1">
      <c r="B57" s="26">
        <v>3</v>
      </c>
      <c r="C57" s="27" t="s">
        <v>86</v>
      </c>
      <c r="D57" s="26">
        <v>1556.5</v>
      </c>
      <c r="E57" s="166" t="e">
        <f t="shared" ref="E57:E62" si="11">E$55</f>
        <v>#VALUE!</v>
      </c>
      <c r="F57" s="167"/>
      <c r="G57" s="142" t="e">
        <f t="shared" si="8"/>
        <v>#VALUE!</v>
      </c>
      <c r="H57" s="144"/>
      <c r="I57" s="28"/>
      <c r="J57" s="166" t="e">
        <f t="shared" si="9"/>
        <v>#VALUE!</v>
      </c>
      <c r="K57" s="167"/>
      <c r="L57" s="142" t="e">
        <f t="shared" si="10"/>
        <v>#VALUE!</v>
      </c>
      <c r="M57" s="144"/>
      <c r="N57" s="22"/>
      <c r="O57" s="22"/>
      <c r="P57" s="22"/>
      <c r="Q57" s="22"/>
      <c r="R57" s="22"/>
      <c r="S57" s="22"/>
      <c r="T57" s="22"/>
    </row>
    <row r="58" spans="2:20" ht="18" customHeight="1">
      <c r="B58" s="26">
        <v>4</v>
      </c>
      <c r="C58" s="27" t="s">
        <v>83</v>
      </c>
      <c r="D58" s="26">
        <v>1417.14</v>
      </c>
      <c r="E58" s="166" t="e">
        <f t="shared" si="11"/>
        <v>#VALUE!</v>
      </c>
      <c r="F58" s="167"/>
      <c r="G58" s="142" t="e">
        <f t="shared" ref="G58" si="12">E58*D58</f>
        <v>#VALUE!</v>
      </c>
      <c r="H58" s="144"/>
      <c r="I58" s="28"/>
      <c r="J58" s="166" t="e">
        <f t="shared" si="9"/>
        <v>#VALUE!</v>
      </c>
      <c r="K58" s="167"/>
      <c r="L58" s="142" t="e">
        <f t="shared" ref="L58" si="13">J58*D58</f>
        <v>#VALUE!</v>
      </c>
      <c r="M58" s="144"/>
      <c r="N58" s="22"/>
      <c r="O58" s="22"/>
      <c r="P58" s="22"/>
      <c r="Q58" s="22"/>
      <c r="R58" s="22"/>
      <c r="S58" s="22"/>
      <c r="T58" s="22"/>
    </row>
    <row r="59" spans="2:20" ht="18" customHeight="1">
      <c r="B59" s="26">
        <v>5</v>
      </c>
      <c r="C59" s="27" t="s">
        <v>87</v>
      </c>
      <c r="D59" s="26">
        <v>1417.14</v>
      </c>
      <c r="E59" s="166" t="e">
        <f t="shared" si="11"/>
        <v>#VALUE!</v>
      </c>
      <c r="F59" s="167"/>
      <c r="G59" s="142" t="e">
        <f t="shared" si="8"/>
        <v>#VALUE!</v>
      </c>
      <c r="H59" s="144"/>
      <c r="I59" s="28"/>
      <c r="J59" s="166" t="e">
        <f t="shared" si="9"/>
        <v>#VALUE!</v>
      </c>
      <c r="K59" s="167"/>
      <c r="L59" s="142" t="e">
        <f t="shared" si="10"/>
        <v>#VALUE!</v>
      </c>
      <c r="M59" s="144"/>
      <c r="N59" s="22"/>
      <c r="O59" s="22"/>
      <c r="P59" s="22"/>
      <c r="Q59" s="22"/>
      <c r="R59" s="22"/>
      <c r="S59" s="22"/>
      <c r="T59" s="22"/>
    </row>
    <row r="60" spans="2:20" ht="18" customHeight="1">
      <c r="B60" s="26">
        <v>6</v>
      </c>
      <c r="C60" s="27" t="s">
        <v>84</v>
      </c>
      <c r="D60" s="26">
        <v>1417.14</v>
      </c>
      <c r="E60" s="166" t="e">
        <f t="shared" si="11"/>
        <v>#VALUE!</v>
      </c>
      <c r="F60" s="167"/>
      <c r="G60" s="142" t="e">
        <f t="shared" ref="G60" si="14">E60*D60</f>
        <v>#VALUE!</v>
      </c>
      <c r="H60" s="144"/>
      <c r="I60" s="28"/>
      <c r="J60" s="166" t="e">
        <f t="shared" si="9"/>
        <v>#VALUE!</v>
      </c>
      <c r="K60" s="167"/>
      <c r="L60" s="142" t="e">
        <f t="shared" ref="L60" si="15">J60*D60</f>
        <v>#VALUE!</v>
      </c>
      <c r="M60" s="144"/>
      <c r="N60" s="22"/>
      <c r="O60" s="22"/>
      <c r="P60" s="22"/>
      <c r="Q60" s="22"/>
      <c r="R60" s="22"/>
      <c r="S60" s="22"/>
      <c r="T60" s="22"/>
    </row>
    <row r="61" spans="2:20" ht="18" customHeight="1">
      <c r="B61" s="26">
        <v>7</v>
      </c>
      <c r="C61" s="27" t="s">
        <v>79</v>
      </c>
      <c r="D61" s="26">
        <v>1555.71</v>
      </c>
      <c r="E61" s="166" t="e">
        <f t="shared" si="11"/>
        <v>#VALUE!</v>
      </c>
      <c r="F61" s="167"/>
      <c r="G61" s="142" t="e">
        <f t="shared" si="8"/>
        <v>#VALUE!</v>
      </c>
      <c r="H61" s="144"/>
      <c r="I61" s="28"/>
      <c r="J61" s="166" t="e">
        <f t="shared" si="9"/>
        <v>#VALUE!</v>
      </c>
      <c r="K61" s="167"/>
      <c r="L61" s="142" t="e">
        <f t="shared" si="10"/>
        <v>#VALUE!</v>
      </c>
      <c r="M61" s="144"/>
      <c r="N61" s="22"/>
      <c r="O61" s="22"/>
      <c r="P61" s="22"/>
      <c r="Q61" s="22"/>
      <c r="R61" s="22"/>
      <c r="S61" s="22"/>
      <c r="T61" s="22"/>
    </row>
    <row r="62" spans="2:20" ht="18" customHeight="1">
      <c r="B62" s="26">
        <v>8</v>
      </c>
      <c r="C62" s="27" t="s">
        <v>80</v>
      </c>
      <c r="D62" s="26">
        <v>1793.08</v>
      </c>
      <c r="E62" s="166" t="e">
        <f t="shared" si="11"/>
        <v>#VALUE!</v>
      </c>
      <c r="F62" s="167"/>
      <c r="G62" s="142" t="e">
        <f t="shared" si="8"/>
        <v>#VALUE!</v>
      </c>
      <c r="H62" s="144"/>
      <c r="I62" s="28"/>
      <c r="J62" s="166" t="e">
        <f t="shared" si="9"/>
        <v>#VALUE!</v>
      </c>
      <c r="K62" s="167"/>
      <c r="L62" s="142" t="e">
        <f t="shared" si="10"/>
        <v>#VALUE!</v>
      </c>
      <c r="M62" s="144"/>
      <c r="N62" s="22"/>
      <c r="O62" s="22"/>
      <c r="P62" s="22"/>
      <c r="Q62" s="22"/>
      <c r="R62" s="22"/>
      <c r="S62" s="22"/>
      <c r="T62" s="22"/>
    </row>
    <row r="63" spans="2:20" ht="18" customHeight="1">
      <c r="B63" s="26">
        <v>9</v>
      </c>
      <c r="C63" s="27" t="s">
        <v>8</v>
      </c>
      <c r="D63" s="26">
        <v>278.19</v>
      </c>
      <c r="E63" s="166" t="e">
        <f t="shared" ref="E63:E81" si="16">E$55</f>
        <v>#VALUE!</v>
      </c>
      <c r="F63" s="167"/>
      <c r="G63" s="142" t="e">
        <f t="shared" si="8"/>
        <v>#VALUE!</v>
      </c>
      <c r="H63" s="144"/>
      <c r="I63" s="28"/>
      <c r="J63" s="166" t="e">
        <f t="shared" si="9"/>
        <v>#VALUE!</v>
      </c>
      <c r="K63" s="167"/>
      <c r="L63" s="142" t="e">
        <f t="shared" si="10"/>
        <v>#VALUE!</v>
      </c>
      <c r="M63" s="144"/>
      <c r="N63" s="22"/>
      <c r="O63" s="22"/>
      <c r="P63" s="22"/>
      <c r="Q63" s="22"/>
      <c r="R63" s="22"/>
      <c r="S63" s="22"/>
      <c r="T63" s="22"/>
    </row>
    <row r="64" spans="2:20" ht="18" customHeight="1">
      <c r="B64" s="26">
        <v>10</v>
      </c>
      <c r="C64" s="27" t="s">
        <v>9</v>
      </c>
      <c r="D64" s="26">
        <v>771.98</v>
      </c>
      <c r="E64" s="166" t="e">
        <f t="shared" si="16"/>
        <v>#VALUE!</v>
      </c>
      <c r="F64" s="167"/>
      <c r="G64" s="142" t="e">
        <f t="shared" si="8"/>
        <v>#VALUE!</v>
      </c>
      <c r="H64" s="144"/>
      <c r="I64" s="28"/>
      <c r="J64" s="166" t="e">
        <f t="shared" si="9"/>
        <v>#VALUE!</v>
      </c>
      <c r="K64" s="167"/>
      <c r="L64" s="142" t="e">
        <f t="shared" si="10"/>
        <v>#VALUE!</v>
      </c>
      <c r="M64" s="144"/>
      <c r="N64" s="22"/>
      <c r="O64" s="22"/>
      <c r="P64" s="22"/>
      <c r="Q64" s="22"/>
      <c r="R64" s="22"/>
      <c r="S64" s="22"/>
      <c r="T64" s="22"/>
    </row>
    <row r="65" spans="2:20" ht="18" customHeight="1">
      <c r="B65" s="26">
        <v>11</v>
      </c>
      <c r="C65" s="27" t="s">
        <v>10</v>
      </c>
      <c r="D65" s="26">
        <v>436.69</v>
      </c>
      <c r="E65" s="166" t="e">
        <f t="shared" si="16"/>
        <v>#VALUE!</v>
      </c>
      <c r="F65" s="167"/>
      <c r="G65" s="142" t="e">
        <f t="shared" si="8"/>
        <v>#VALUE!</v>
      </c>
      <c r="H65" s="144"/>
      <c r="I65" s="28"/>
      <c r="J65" s="166" t="e">
        <f t="shared" si="9"/>
        <v>#VALUE!</v>
      </c>
      <c r="K65" s="167"/>
      <c r="L65" s="142" t="e">
        <f t="shared" si="10"/>
        <v>#VALUE!</v>
      </c>
      <c r="M65" s="144"/>
      <c r="N65" s="22"/>
      <c r="O65" s="22"/>
      <c r="P65" s="22"/>
      <c r="Q65" s="22"/>
      <c r="R65" s="22"/>
      <c r="S65" s="22"/>
      <c r="T65" s="22"/>
    </row>
    <row r="66" spans="2:20" ht="18" customHeight="1">
      <c r="B66" s="26">
        <v>12</v>
      </c>
      <c r="C66" s="27" t="s">
        <v>11</v>
      </c>
      <c r="D66" s="26">
        <v>4310.66</v>
      </c>
      <c r="E66" s="166" t="e">
        <f t="shared" si="16"/>
        <v>#VALUE!</v>
      </c>
      <c r="F66" s="167"/>
      <c r="G66" s="142" t="e">
        <f t="shared" si="8"/>
        <v>#VALUE!</v>
      </c>
      <c r="H66" s="144"/>
      <c r="I66" s="28"/>
      <c r="J66" s="166" t="e">
        <f t="shared" si="9"/>
        <v>#VALUE!</v>
      </c>
      <c r="K66" s="167"/>
      <c r="L66" s="142" t="e">
        <f t="shared" si="10"/>
        <v>#VALUE!</v>
      </c>
      <c r="M66" s="144"/>
      <c r="N66" s="22"/>
      <c r="O66" s="22"/>
      <c r="P66" s="22"/>
      <c r="Q66" s="22"/>
      <c r="R66" s="22"/>
      <c r="S66" s="22"/>
      <c r="T66" s="22"/>
    </row>
    <row r="67" spans="2:20" ht="18" customHeight="1">
      <c r="B67" s="26">
        <v>13</v>
      </c>
      <c r="C67" s="27" t="s">
        <v>12</v>
      </c>
      <c r="D67" s="26">
        <v>1108.19</v>
      </c>
      <c r="E67" s="166" t="e">
        <f t="shared" si="16"/>
        <v>#VALUE!</v>
      </c>
      <c r="F67" s="167"/>
      <c r="G67" s="142" t="e">
        <f t="shared" si="8"/>
        <v>#VALUE!</v>
      </c>
      <c r="H67" s="144"/>
      <c r="I67" s="28"/>
      <c r="J67" s="166" t="e">
        <f t="shared" si="9"/>
        <v>#VALUE!</v>
      </c>
      <c r="K67" s="167"/>
      <c r="L67" s="142" t="e">
        <f t="shared" si="10"/>
        <v>#VALUE!</v>
      </c>
      <c r="M67" s="144"/>
      <c r="N67" s="22"/>
      <c r="O67" s="22"/>
      <c r="P67" s="22"/>
      <c r="Q67" s="22"/>
      <c r="R67" s="22"/>
      <c r="S67" s="22"/>
      <c r="T67" s="22"/>
    </row>
    <row r="68" spans="2:20" ht="18" customHeight="1">
      <c r="B68" s="26">
        <v>14</v>
      </c>
      <c r="C68" s="27" t="s">
        <v>13</v>
      </c>
      <c r="D68" s="26">
        <v>883.13</v>
      </c>
      <c r="E68" s="166" t="e">
        <f t="shared" si="16"/>
        <v>#VALUE!</v>
      </c>
      <c r="F68" s="167"/>
      <c r="G68" s="142" t="e">
        <f t="shared" si="8"/>
        <v>#VALUE!</v>
      </c>
      <c r="H68" s="144"/>
      <c r="I68" s="28"/>
      <c r="J68" s="166" t="e">
        <f t="shared" si="9"/>
        <v>#VALUE!</v>
      </c>
      <c r="K68" s="167"/>
      <c r="L68" s="142" t="e">
        <f t="shared" si="10"/>
        <v>#VALUE!</v>
      </c>
      <c r="M68" s="144"/>
      <c r="N68" s="22"/>
      <c r="O68" s="22"/>
      <c r="P68" s="22"/>
      <c r="Q68" s="22"/>
      <c r="R68" s="22"/>
      <c r="S68" s="22"/>
      <c r="T68" s="22"/>
    </row>
    <row r="69" spans="2:20" ht="18" customHeight="1">
      <c r="B69" s="26">
        <v>15</v>
      </c>
      <c r="C69" s="27" t="s">
        <v>18</v>
      </c>
      <c r="D69" s="26">
        <v>1108.19</v>
      </c>
      <c r="E69" s="166" t="e">
        <f t="shared" si="16"/>
        <v>#VALUE!</v>
      </c>
      <c r="F69" s="167"/>
      <c r="G69" s="142" t="e">
        <f t="shared" si="8"/>
        <v>#VALUE!</v>
      </c>
      <c r="H69" s="144"/>
      <c r="I69" s="28"/>
      <c r="J69" s="166" t="e">
        <f t="shared" si="9"/>
        <v>#VALUE!</v>
      </c>
      <c r="K69" s="167"/>
      <c r="L69" s="142" t="e">
        <f t="shared" si="10"/>
        <v>#VALUE!</v>
      </c>
      <c r="M69" s="144"/>
      <c r="N69" s="22"/>
      <c r="O69" s="22"/>
      <c r="P69" s="22"/>
      <c r="Q69" s="22"/>
      <c r="R69" s="22"/>
      <c r="S69" s="22"/>
      <c r="T69" s="22"/>
    </row>
    <row r="70" spans="2:20" ht="18" customHeight="1">
      <c r="B70" s="26">
        <v>16</v>
      </c>
      <c r="C70" s="27" t="s">
        <v>19</v>
      </c>
      <c r="D70" s="26">
        <v>265.08</v>
      </c>
      <c r="E70" s="166" t="e">
        <f t="shared" si="16"/>
        <v>#VALUE!</v>
      </c>
      <c r="F70" s="167"/>
      <c r="G70" s="142" t="e">
        <f t="shared" si="8"/>
        <v>#VALUE!</v>
      </c>
      <c r="H70" s="144"/>
      <c r="I70" s="28"/>
      <c r="J70" s="166" t="e">
        <f t="shared" si="9"/>
        <v>#VALUE!</v>
      </c>
      <c r="K70" s="167"/>
      <c r="L70" s="142" t="e">
        <f t="shared" si="10"/>
        <v>#VALUE!</v>
      </c>
      <c r="M70" s="144"/>
      <c r="N70" s="22"/>
      <c r="O70" s="22"/>
      <c r="P70" s="22"/>
      <c r="Q70" s="22"/>
      <c r="R70" s="22"/>
      <c r="S70" s="22"/>
      <c r="T70" s="22"/>
    </row>
    <row r="71" spans="2:20" ht="18" customHeight="1">
      <c r="B71" s="26">
        <v>17</v>
      </c>
      <c r="C71" s="27" t="s">
        <v>20</v>
      </c>
      <c r="D71" s="26">
        <v>192.9</v>
      </c>
      <c r="E71" s="166" t="e">
        <f t="shared" si="16"/>
        <v>#VALUE!</v>
      </c>
      <c r="F71" s="167"/>
      <c r="G71" s="142" t="e">
        <f t="shared" si="8"/>
        <v>#VALUE!</v>
      </c>
      <c r="H71" s="144"/>
      <c r="I71" s="28"/>
      <c r="J71" s="166" t="e">
        <f t="shared" si="9"/>
        <v>#VALUE!</v>
      </c>
      <c r="K71" s="167"/>
      <c r="L71" s="142" t="e">
        <f t="shared" si="10"/>
        <v>#VALUE!</v>
      </c>
      <c r="M71" s="144"/>
      <c r="N71" s="22"/>
      <c r="O71" s="22"/>
      <c r="P71" s="22"/>
      <c r="Q71" s="22"/>
      <c r="R71" s="22"/>
      <c r="S71" s="22"/>
      <c r="T71" s="22"/>
    </row>
    <row r="72" spans="2:20" ht="18" customHeight="1">
      <c r="B72" s="26">
        <v>18</v>
      </c>
      <c r="C72" s="27" t="s">
        <v>85</v>
      </c>
      <c r="D72" s="17">
        <v>739</v>
      </c>
      <c r="E72" s="166" t="e">
        <f t="shared" si="16"/>
        <v>#VALUE!</v>
      </c>
      <c r="F72" s="167"/>
      <c r="G72" s="142" t="e">
        <f t="shared" ref="G72" si="17">E72*D72</f>
        <v>#VALUE!</v>
      </c>
      <c r="H72" s="144"/>
      <c r="I72" s="28"/>
      <c r="J72" s="166" t="e">
        <f t="shared" si="9"/>
        <v>#VALUE!</v>
      </c>
      <c r="K72" s="167"/>
      <c r="L72" s="142" t="e">
        <f t="shared" ref="L72" si="18">J72*D72</f>
        <v>#VALUE!</v>
      </c>
      <c r="M72" s="144"/>
      <c r="N72" s="22"/>
      <c r="O72" s="22"/>
      <c r="P72" s="22"/>
      <c r="Q72" s="22"/>
      <c r="R72" s="22"/>
      <c r="S72" s="22"/>
      <c r="T72" s="22"/>
    </row>
    <row r="73" spans="2:20" ht="18" customHeight="1">
      <c r="B73" s="26">
        <v>19</v>
      </c>
      <c r="C73" s="27" t="s">
        <v>14</v>
      </c>
      <c r="D73" s="26">
        <v>760.46</v>
      </c>
      <c r="E73" s="166" t="e">
        <f t="shared" si="16"/>
        <v>#VALUE!</v>
      </c>
      <c r="F73" s="167"/>
      <c r="G73" s="142" t="e">
        <f t="shared" si="8"/>
        <v>#VALUE!</v>
      </c>
      <c r="H73" s="144"/>
      <c r="I73" s="28"/>
      <c r="J73" s="166" t="e">
        <f t="shared" si="9"/>
        <v>#VALUE!</v>
      </c>
      <c r="K73" s="167"/>
      <c r="L73" s="142" t="e">
        <f t="shared" si="10"/>
        <v>#VALUE!</v>
      </c>
      <c r="M73" s="144"/>
      <c r="N73" s="22"/>
      <c r="O73" s="22"/>
      <c r="P73" s="22"/>
      <c r="Q73" s="22"/>
      <c r="R73" s="22"/>
      <c r="S73" s="22"/>
      <c r="T73" s="22"/>
    </row>
    <row r="74" spans="2:20" ht="18" customHeight="1">
      <c r="B74" s="26">
        <v>20</v>
      </c>
      <c r="C74" s="27" t="s">
        <v>15</v>
      </c>
      <c r="D74" s="26">
        <v>1055.27</v>
      </c>
      <c r="E74" s="166" t="e">
        <f t="shared" si="16"/>
        <v>#VALUE!</v>
      </c>
      <c r="F74" s="167"/>
      <c r="G74" s="142" t="e">
        <f t="shared" si="8"/>
        <v>#VALUE!</v>
      </c>
      <c r="H74" s="144"/>
      <c r="I74" s="28"/>
      <c r="J74" s="166" t="e">
        <f t="shared" si="9"/>
        <v>#VALUE!</v>
      </c>
      <c r="K74" s="167"/>
      <c r="L74" s="142" t="e">
        <f t="shared" si="10"/>
        <v>#VALUE!</v>
      </c>
      <c r="M74" s="144"/>
      <c r="N74" s="22"/>
      <c r="O74" s="22"/>
      <c r="P74" s="22"/>
      <c r="Q74" s="22"/>
      <c r="R74" s="22"/>
      <c r="S74" s="22"/>
      <c r="T74" s="22"/>
    </row>
    <row r="75" spans="2:20" ht="18" customHeight="1">
      <c r="B75" s="26">
        <v>21</v>
      </c>
      <c r="C75" s="27" t="s">
        <v>16</v>
      </c>
      <c r="D75" s="26">
        <v>379.35</v>
      </c>
      <c r="E75" s="166" t="e">
        <f t="shared" si="16"/>
        <v>#VALUE!</v>
      </c>
      <c r="F75" s="167"/>
      <c r="G75" s="142" t="e">
        <f t="shared" si="8"/>
        <v>#VALUE!</v>
      </c>
      <c r="H75" s="144"/>
      <c r="I75" s="28"/>
      <c r="J75" s="166" t="e">
        <f t="shared" si="9"/>
        <v>#VALUE!</v>
      </c>
      <c r="K75" s="167"/>
      <c r="L75" s="142" t="e">
        <f t="shared" si="10"/>
        <v>#VALUE!</v>
      </c>
      <c r="M75" s="144"/>
      <c r="N75" s="22"/>
      <c r="O75" s="22"/>
      <c r="P75" s="22"/>
      <c r="Q75" s="22"/>
      <c r="R75" s="22"/>
      <c r="S75" s="22"/>
      <c r="T75" s="22"/>
    </row>
    <row r="76" spans="2:20" ht="18" customHeight="1">
      <c r="B76" s="26">
        <v>22</v>
      </c>
      <c r="C76" s="27" t="s">
        <v>17</v>
      </c>
      <c r="D76" s="26">
        <v>669.03</v>
      </c>
      <c r="E76" s="166" t="e">
        <f t="shared" si="16"/>
        <v>#VALUE!</v>
      </c>
      <c r="F76" s="167"/>
      <c r="G76" s="142" t="e">
        <f t="shared" si="8"/>
        <v>#VALUE!</v>
      </c>
      <c r="H76" s="144"/>
      <c r="I76" s="28"/>
      <c r="J76" s="166" t="e">
        <f t="shared" si="9"/>
        <v>#VALUE!</v>
      </c>
      <c r="K76" s="167"/>
      <c r="L76" s="142" t="e">
        <f t="shared" si="10"/>
        <v>#VALUE!</v>
      </c>
      <c r="M76" s="144"/>
      <c r="N76" s="22"/>
      <c r="O76" s="22"/>
      <c r="P76" s="22"/>
      <c r="Q76" s="22"/>
      <c r="R76" s="22"/>
      <c r="S76" s="22"/>
      <c r="T76" s="22"/>
    </row>
    <row r="77" spans="2:20" ht="18" customHeight="1">
      <c r="B77" s="26">
        <v>23</v>
      </c>
      <c r="C77" s="27" t="s">
        <v>21</v>
      </c>
      <c r="D77" s="26">
        <v>655.73</v>
      </c>
      <c r="E77" s="166" t="e">
        <f t="shared" si="16"/>
        <v>#VALUE!</v>
      </c>
      <c r="F77" s="167"/>
      <c r="G77" s="142" t="e">
        <f t="shared" si="8"/>
        <v>#VALUE!</v>
      </c>
      <c r="H77" s="144"/>
      <c r="I77" s="28"/>
      <c r="J77" s="166" t="e">
        <f t="shared" si="9"/>
        <v>#VALUE!</v>
      </c>
      <c r="K77" s="167"/>
      <c r="L77" s="142" t="e">
        <f t="shared" si="10"/>
        <v>#VALUE!</v>
      </c>
      <c r="M77" s="144"/>
      <c r="N77" s="22"/>
      <c r="O77" s="22"/>
      <c r="P77" s="22"/>
      <c r="Q77" s="22"/>
      <c r="R77" s="22"/>
      <c r="S77" s="22"/>
      <c r="T77" s="22"/>
    </row>
    <row r="78" spans="2:20" ht="18" customHeight="1">
      <c r="B78" s="26">
        <v>24</v>
      </c>
      <c r="C78" s="27" t="s">
        <v>22</v>
      </c>
      <c r="D78" s="26">
        <v>1313.68</v>
      </c>
      <c r="E78" s="166" t="e">
        <f t="shared" si="16"/>
        <v>#VALUE!</v>
      </c>
      <c r="F78" s="167"/>
      <c r="G78" s="142" t="e">
        <f t="shared" si="8"/>
        <v>#VALUE!</v>
      </c>
      <c r="H78" s="144"/>
      <c r="I78" s="28"/>
      <c r="J78" s="166" t="e">
        <f t="shared" si="9"/>
        <v>#VALUE!</v>
      </c>
      <c r="K78" s="167"/>
      <c r="L78" s="142" t="e">
        <f t="shared" si="10"/>
        <v>#VALUE!</v>
      </c>
      <c r="M78" s="144"/>
      <c r="N78" s="22"/>
      <c r="O78" s="22"/>
      <c r="P78" s="22"/>
      <c r="Q78" s="22"/>
      <c r="R78" s="22"/>
      <c r="S78" s="22"/>
      <c r="T78" s="22"/>
    </row>
    <row r="79" spans="2:20" ht="18" customHeight="1">
      <c r="B79" s="26">
        <v>25</v>
      </c>
      <c r="C79" s="27" t="s">
        <v>72</v>
      </c>
      <c r="D79" s="26">
        <v>1877.3</v>
      </c>
      <c r="E79" s="166" t="e">
        <f t="shared" si="16"/>
        <v>#VALUE!</v>
      </c>
      <c r="F79" s="167"/>
      <c r="G79" s="142" t="e">
        <f t="shared" si="8"/>
        <v>#VALUE!</v>
      </c>
      <c r="H79" s="144"/>
      <c r="I79" s="28"/>
      <c r="J79" s="166" t="e">
        <f t="shared" si="9"/>
        <v>#VALUE!</v>
      </c>
      <c r="K79" s="167"/>
      <c r="L79" s="142" t="e">
        <f t="shared" si="10"/>
        <v>#VALUE!</v>
      </c>
      <c r="M79" s="144"/>
      <c r="N79" s="22"/>
      <c r="O79" s="22"/>
      <c r="P79" s="22"/>
      <c r="Q79" s="22"/>
      <c r="R79" s="22"/>
      <c r="S79" s="22"/>
      <c r="T79" s="22"/>
    </row>
    <row r="80" spans="2:20" ht="18" customHeight="1">
      <c r="B80" s="26">
        <v>26</v>
      </c>
      <c r="C80" s="27" t="s">
        <v>23</v>
      </c>
      <c r="D80" s="26">
        <v>1133.8800000000001</v>
      </c>
      <c r="E80" s="166" t="e">
        <f t="shared" si="16"/>
        <v>#VALUE!</v>
      </c>
      <c r="F80" s="167"/>
      <c r="G80" s="142" t="e">
        <f t="shared" si="8"/>
        <v>#VALUE!</v>
      </c>
      <c r="H80" s="144"/>
      <c r="I80" s="28"/>
      <c r="J80" s="166" t="e">
        <f t="shared" si="9"/>
        <v>#VALUE!</v>
      </c>
      <c r="K80" s="167"/>
      <c r="L80" s="142" t="e">
        <f t="shared" si="10"/>
        <v>#VALUE!</v>
      </c>
      <c r="M80" s="144"/>
      <c r="N80" s="22"/>
      <c r="O80" s="22"/>
      <c r="P80" s="22"/>
      <c r="Q80" s="22"/>
      <c r="R80" s="22"/>
      <c r="S80" s="22"/>
      <c r="T80" s="22"/>
    </row>
    <row r="81" spans="2:20" ht="18" customHeight="1">
      <c r="B81" s="26">
        <v>27</v>
      </c>
      <c r="C81" s="27" t="s">
        <v>24</v>
      </c>
      <c r="D81" s="26">
        <v>1034.23</v>
      </c>
      <c r="E81" s="166" t="e">
        <f t="shared" si="16"/>
        <v>#VALUE!</v>
      </c>
      <c r="F81" s="167"/>
      <c r="G81" s="142" t="e">
        <f t="shared" si="8"/>
        <v>#VALUE!</v>
      </c>
      <c r="H81" s="144"/>
      <c r="I81" s="28"/>
      <c r="J81" s="166" t="e">
        <f t="shared" si="9"/>
        <v>#VALUE!</v>
      </c>
      <c r="K81" s="167"/>
      <c r="L81" s="142" t="e">
        <f t="shared" si="10"/>
        <v>#VALUE!</v>
      </c>
      <c r="M81" s="144"/>
      <c r="N81" s="22"/>
      <c r="O81" s="22"/>
      <c r="P81" s="22"/>
      <c r="Q81" s="22"/>
      <c r="R81" s="22"/>
      <c r="S81" s="22"/>
      <c r="T81" s="22"/>
    </row>
    <row r="82" spans="2:20" ht="18" customHeight="1">
      <c r="B82" s="34" t="s">
        <v>113</v>
      </c>
      <c r="C82" s="56" t="s">
        <v>46</v>
      </c>
      <c r="D82" s="56">
        <f>SUM(D55:D81)</f>
        <v>28742.880000000001</v>
      </c>
      <c r="E82" s="166"/>
      <c r="F82" s="167"/>
      <c r="G82" s="142"/>
      <c r="H82" s="144"/>
      <c r="I82" s="17"/>
      <c r="J82" s="166"/>
      <c r="K82" s="167"/>
      <c r="L82" s="142"/>
      <c r="M82" s="144"/>
      <c r="N82" s="22"/>
      <c r="O82" s="22"/>
      <c r="P82" s="22"/>
      <c r="Q82" s="22"/>
      <c r="R82" s="22"/>
      <c r="S82" s="22"/>
      <c r="T82" s="22"/>
    </row>
    <row r="83" spans="2:20">
      <c r="B83" s="29"/>
      <c r="C83" s="30"/>
      <c r="D83" s="31"/>
      <c r="E83" s="31"/>
      <c r="F83" s="31"/>
      <c r="G83" s="32"/>
      <c r="H83" s="32"/>
      <c r="I83" s="28"/>
      <c r="J83" s="31"/>
      <c r="K83" s="31"/>
      <c r="L83" s="32"/>
      <c r="M83" s="32"/>
      <c r="N83" s="22"/>
      <c r="O83" s="22"/>
      <c r="P83" s="22"/>
      <c r="Q83" s="22"/>
      <c r="R83" s="22"/>
      <c r="S83" s="22"/>
      <c r="T83" s="22"/>
    </row>
    <row r="84" spans="2:20">
      <c r="B84" s="29"/>
      <c r="C84" s="95" t="s">
        <v>215</v>
      </c>
      <c r="D84" s="31"/>
      <c r="E84" s="31"/>
      <c r="F84" s="31"/>
      <c r="G84" s="31"/>
      <c r="H84" s="31"/>
      <c r="I84" s="28"/>
      <c r="J84" s="31"/>
      <c r="K84" s="31"/>
      <c r="L84" s="31"/>
      <c r="M84" s="31"/>
      <c r="N84" s="22"/>
      <c r="O84" s="22"/>
      <c r="P84" s="22"/>
      <c r="Q84" s="22"/>
      <c r="R84" s="22"/>
      <c r="S84" s="22"/>
      <c r="T84" s="22"/>
    </row>
    <row r="85" spans="2:20">
      <c r="C85" s="95"/>
      <c r="D85" s="22"/>
      <c r="E85" s="22"/>
      <c r="F85" s="22"/>
      <c r="G85" s="22"/>
      <c r="H85" s="22"/>
      <c r="I85" s="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2:20">
      <c r="C86" s="23"/>
      <c r="D86" s="22"/>
      <c r="E86" s="22"/>
      <c r="F86" s="22"/>
      <c r="G86" s="22"/>
      <c r="H86" s="22"/>
      <c r="I86" s="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2:20">
      <c r="C87" s="23"/>
      <c r="D87" s="168" t="s">
        <v>28</v>
      </c>
      <c r="E87" s="184" t="s">
        <v>29</v>
      </c>
      <c r="F87" s="185"/>
      <c r="G87" s="22"/>
      <c r="H87" s="22"/>
      <c r="I87" s="2"/>
      <c r="J87" s="168" t="s">
        <v>28</v>
      </c>
      <c r="K87" s="184" t="s">
        <v>29</v>
      </c>
      <c r="L87" s="185"/>
      <c r="M87" s="22"/>
      <c r="N87" s="22"/>
      <c r="O87" s="22"/>
      <c r="P87" s="22"/>
      <c r="Q87" s="22"/>
      <c r="R87" s="22"/>
      <c r="S87" s="22"/>
      <c r="T87" s="22"/>
    </row>
    <row r="88" spans="2:20">
      <c r="C88" s="23"/>
      <c r="D88" s="169"/>
      <c r="E88" s="186" t="s">
        <v>222</v>
      </c>
      <c r="F88" s="187"/>
      <c r="G88" s="22"/>
      <c r="H88" s="22"/>
      <c r="I88" s="2"/>
      <c r="J88" s="169"/>
      <c r="K88" s="186" t="s">
        <v>222</v>
      </c>
      <c r="L88" s="187"/>
      <c r="M88" s="22"/>
      <c r="N88" s="22"/>
      <c r="O88" s="22"/>
      <c r="P88" s="22"/>
      <c r="Q88" s="22"/>
      <c r="R88" s="22"/>
      <c r="S88" s="22"/>
      <c r="T88" s="22"/>
    </row>
    <row r="89" spans="2:20">
      <c r="C89" s="23"/>
      <c r="D89" s="168" t="s">
        <v>32</v>
      </c>
      <c r="E89" s="6" t="s">
        <v>31</v>
      </c>
      <c r="F89" s="170" t="e">
        <f>1/E90</f>
        <v>#VALUE!</v>
      </c>
      <c r="G89" s="22"/>
      <c r="H89" s="22"/>
      <c r="I89" s="2"/>
      <c r="J89" s="168" t="s">
        <v>32</v>
      </c>
      <c r="K89" s="6" t="s">
        <v>31</v>
      </c>
      <c r="L89" s="170" t="e">
        <f>1/K90</f>
        <v>#VALUE!</v>
      </c>
      <c r="M89" s="22"/>
      <c r="N89" s="22"/>
      <c r="O89" s="22"/>
      <c r="P89" s="22"/>
      <c r="Q89" s="22"/>
      <c r="R89" s="22"/>
      <c r="S89" s="22"/>
      <c r="T89" s="22"/>
    </row>
    <row r="90" spans="2:20">
      <c r="C90" s="23"/>
      <c r="D90" s="169"/>
      <c r="E90" s="125" t="s">
        <v>220</v>
      </c>
      <c r="F90" s="171"/>
      <c r="G90" s="22"/>
      <c r="H90" s="22"/>
      <c r="I90" s="2"/>
      <c r="J90" s="169"/>
      <c r="K90" s="125" t="s">
        <v>220</v>
      </c>
      <c r="L90" s="171"/>
      <c r="M90" s="22"/>
      <c r="N90" s="22"/>
      <c r="O90" s="22"/>
      <c r="P90" s="22"/>
      <c r="Q90" s="22"/>
      <c r="R90" s="22"/>
      <c r="S90" s="22"/>
      <c r="T90" s="22"/>
    </row>
    <row r="91" spans="2:20">
      <c r="C91" s="23"/>
      <c r="D91" s="22"/>
      <c r="E91" s="22"/>
      <c r="F91" s="22"/>
      <c r="G91" s="22"/>
      <c r="H91" s="22"/>
      <c r="I91" s="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2:20">
      <c r="C92" s="23"/>
      <c r="D92" s="22"/>
      <c r="E92" s="22"/>
      <c r="F92" s="22"/>
      <c r="G92" s="22"/>
      <c r="H92" s="22"/>
      <c r="I92" s="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2:20">
      <c r="C93" s="23"/>
      <c r="D93" s="22"/>
      <c r="E93" s="22"/>
      <c r="F93" s="22"/>
      <c r="G93" s="22"/>
      <c r="H93" s="22"/>
      <c r="I93" s="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2:20" ht="17.25">
      <c r="B94" s="172" t="s">
        <v>90</v>
      </c>
      <c r="C94" s="172"/>
      <c r="D94" s="172"/>
      <c r="E94" s="172"/>
      <c r="F94" s="172"/>
      <c r="G94" s="172"/>
      <c r="H94" s="172"/>
      <c r="I94" s="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2:20">
      <c r="C95" s="23"/>
      <c r="D95" s="22"/>
      <c r="E95" s="22"/>
      <c r="F95" s="22"/>
      <c r="G95" s="22"/>
      <c r="H95" s="22"/>
      <c r="I95" s="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2:20">
      <c r="C96" s="23"/>
      <c r="D96" s="22"/>
      <c r="E96" s="22"/>
      <c r="F96" s="22"/>
      <c r="G96" s="22"/>
      <c r="H96" s="22"/>
      <c r="I96" s="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2:20" ht="21" customHeight="1">
      <c r="B97" s="174" t="s">
        <v>4</v>
      </c>
      <c r="C97" s="174" t="s">
        <v>0</v>
      </c>
      <c r="D97" s="176" t="s">
        <v>61</v>
      </c>
      <c r="E97" s="175" t="s">
        <v>33</v>
      </c>
      <c r="F97" s="175"/>
      <c r="G97" s="175" t="s">
        <v>34</v>
      </c>
      <c r="H97" s="175"/>
      <c r="I97" s="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2:20" ht="21" customHeight="1">
      <c r="B98" s="174"/>
      <c r="C98" s="174"/>
      <c r="D98" s="177"/>
      <c r="E98" s="145" t="s">
        <v>32</v>
      </c>
      <c r="F98" s="146"/>
      <c r="G98" s="145" t="s">
        <v>32</v>
      </c>
      <c r="H98" s="146"/>
      <c r="I98" s="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2:20" ht="18" customHeight="1">
      <c r="B99" s="26">
        <v>1</v>
      </c>
      <c r="C99" s="27" t="s">
        <v>2</v>
      </c>
      <c r="D99" s="35">
        <f>'[1]ÁREA ÚTIL'!$F$13*2</f>
        <v>25.12</v>
      </c>
      <c r="E99" s="164" t="e">
        <f>R114</f>
        <v>#VALUE!</v>
      </c>
      <c r="F99" s="165"/>
      <c r="G99" s="162" t="e">
        <f>D99*E99</f>
        <v>#VALUE!</v>
      </c>
      <c r="H99" s="163"/>
      <c r="I99" s="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2:20" ht="18" customHeight="1">
      <c r="B100" s="26">
        <v>2</v>
      </c>
      <c r="C100" s="27" t="s">
        <v>5</v>
      </c>
      <c r="D100" s="35">
        <f>'[1]ÁREA ÚTIL'!$F$14*2</f>
        <v>103.26</v>
      </c>
      <c r="E100" s="164" t="e">
        <f t="shared" ref="E100:E125" si="19">E$99</f>
        <v>#VALUE!</v>
      </c>
      <c r="F100" s="165"/>
      <c r="G100" s="162" t="e">
        <f t="shared" ref="G100:G125" si="20">D100*E100</f>
        <v>#VALUE!</v>
      </c>
      <c r="H100" s="163"/>
      <c r="I100" s="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2:20" ht="18" customHeight="1">
      <c r="B101" s="26">
        <v>3</v>
      </c>
      <c r="C101" s="27" t="s">
        <v>86</v>
      </c>
      <c r="D101" s="35">
        <f>'[1]ÁREA ÚTIL'!$F$15*2</f>
        <v>368.24</v>
      </c>
      <c r="E101" s="164" t="e">
        <f t="shared" si="19"/>
        <v>#VALUE!</v>
      </c>
      <c r="F101" s="165"/>
      <c r="G101" s="162" t="e">
        <f t="shared" si="20"/>
        <v>#VALUE!</v>
      </c>
      <c r="H101" s="163"/>
      <c r="I101" s="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2:20" ht="18" customHeight="1">
      <c r="B102" s="26">
        <v>4</v>
      </c>
      <c r="C102" s="27" t="s">
        <v>83</v>
      </c>
      <c r="D102" s="35">
        <f>'[1]ÁREA ÚTIL'!$F$16*2</f>
        <v>316.08</v>
      </c>
      <c r="E102" s="164" t="e">
        <f t="shared" si="19"/>
        <v>#VALUE!</v>
      </c>
      <c r="F102" s="165"/>
      <c r="G102" s="162" t="e">
        <f t="shared" ref="G102:G104" si="21">D102*E102</f>
        <v>#VALUE!</v>
      </c>
      <c r="H102" s="163"/>
      <c r="I102" s="2"/>
      <c r="J102" s="22"/>
      <c r="Q102" s="22"/>
      <c r="R102" s="22"/>
      <c r="S102" s="22"/>
      <c r="T102" s="22"/>
    </row>
    <row r="103" spans="2:20" ht="18" customHeight="1">
      <c r="B103" s="26">
        <v>5</v>
      </c>
      <c r="C103" s="27" t="s">
        <v>78</v>
      </c>
      <c r="D103" s="35">
        <f>'[1]ÁREA ÚTIL'!$F$16*2</f>
        <v>316.08</v>
      </c>
      <c r="E103" s="164" t="e">
        <f t="shared" si="19"/>
        <v>#VALUE!</v>
      </c>
      <c r="F103" s="165"/>
      <c r="G103" s="162" t="e">
        <f t="shared" si="21"/>
        <v>#VALUE!</v>
      </c>
      <c r="H103" s="163"/>
      <c r="I103" s="2"/>
      <c r="J103" s="22"/>
      <c r="K103" s="159" t="s">
        <v>200</v>
      </c>
      <c r="L103" s="158" t="s">
        <v>201</v>
      </c>
      <c r="M103" s="158" t="s">
        <v>202</v>
      </c>
      <c r="N103" s="158" t="s">
        <v>203</v>
      </c>
      <c r="O103" s="158" t="s">
        <v>204</v>
      </c>
      <c r="P103" s="159" t="s">
        <v>205</v>
      </c>
      <c r="Q103" s="158" t="s">
        <v>206</v>
      </c>
      <c r="R103" s="22"/>
      <c r="S103" s="22"/>
      <c r="T103" s="22"/>
    </row>
    <row r="104" spans="2:20" ht="18" customHeight="1">
      <c r="B104" s="26">
        <v>6</v>
      </c>
      <c r="C104" s="27" t="s">
        <v>88</v>
      </c>
      <c r="D104" s="35">
        <f>'[1]ÁREA ÚTIL'!$F$16*2</f>
        <v>316.08</v>
      </c>
      <c r="E104" s="164" t="e">
        <f t="shared" si="19"/>
        <v>#VALUE!</v>
      </c>
      <c r="F104" s="165"/>
      <c r="G104" s="162" t="e">
        <f t="shared" si="21"/>
        <v>#VALUE!</v>
      </c>
      <c r="H104" s="163"/>
      <c r="I104" s="2"/>
      <c r="J104" s="22"/>
      <c r="K104" s="159"/>
      <c r="L104" s="158"/>
      <c r="M104" s="158"/>
      <c r="N104" s="158"/>
      <c r="O104" s="158"/>
      <c r="P104" s="159"/>
      <c r="Q104" s="158"/>
      <c r="R104" s="22"/>
      <c r="S104" s="129" t="s">
        <v>212</v>
      </c>
      <c r="T104" s="22"/>
    </row>
    <row r="105" spans="2:20" ht="18" customHeight="1">
      <c r="B105" s="26">
        <v>7</v>
      </c>
      <c r="C105" s="27" t="s">
        <v>79</v>
      </c>
      <c r="D105" s="35">
        <f>'[1]ÁREA ÚTIL'!$F$17*2</f>
        <v>321.86</v>
      </c>
      <c r="E105" s="164" t="e">
        <f t="shared" si="19"/>
        <v>#VALUE!</v>
      </c>
      <c r="F105" s="165"/>
      <c r="G105" s="162" t="e">
        <f t="shared" si="20"/>
        <v>#VALUE!</v>
      </c>
      <c r="H105" s="163"/>
      <c r="I105" s="2"/>
      <c r="J105" s="22"/>
      <c r="K105" s="159"/>
      <c r="L105" s="158"/>
      <c r="M105" s="158"/>
      <c r="N105" s="158"/>
      <c r="O105" s="158"/>
      <c r="P105" s="159"/>
      <c r="Q105" s="158"/>
      <c r="R105" s="22"/>
      <c r="S105" s="22"/>
      <c r="T105" s="22"/>
    </row>
    <row r="106" spans="2:20" ht="18" customHeight="1">
      <c r="B106" s="26">
        <v>8</v>
      </c>
      <c r="C106" s="27" t="s">
        <v>80</v>
      </c>
      <c r="D106" s="35">
        <f>'[1]ÁREA ÚTIL'!$F$18*2</f>
        <v>15.16</v>
      </c>
      <c r="E106" s="164" t="e">
        <f t="shared" si="19"/>
        <v>#VALUE!</v>
      </c>
      <c r="F106" s="165"/>
      <c r="G106" s="162" t="e">
        <f t="shared" si="20"/>
        <v>#VALUE!</v>
      </c>
      <c r="H106" s="163"/>
      <c r="I106" s="2"/>
      <c r="J106" s="22"/>
      <c r="K106" s="159"/>
      <c r="L106" s="158"/>
      <c r="M106" s="158"/>
      <c r="N106" s="158"/>
      <c r="O106" s="158"/>
      <c r="P106" s="159"/>
      <c r="Q106" s="158"/>
      <c r="R106" s="22"/>
      <c r="S106" s="22"/>
      <c r="T106" s="22"/>
    </row>
    <row r="107" spans="2:20" ht="18" customHeight="1">
      <c r="B107" s="26">
        <v>9</v>
      </c>
      <c r="C107" s="27" t="s">
        <v>8</v>
      </c>
      <c r="D107" s="35">
        <f>'[1]ÁREA ÚTIL'!$F$19*2</f>
        <v>64</v>
      </c>
      <c r="E107" s="164" t="e">
        <f t="shared" si="19"/>
        <v>#VALUE!</v>
      </c>
      <c r="F107" s="165"/>
      <c r="G107" s="162" t="e">
        <f t="shared" si="20"/>
        <v>#VALUE!</v>
      </c>
      <c r="H107" s="163"/>
      <c r="I107" s="2"/>
      <c r="J107" s="22"/>
      <c r="K107" s="159" t="s">
        <v>207</v>
      </c>
      <c r="L107" s="158">
        <v>6</v>
      </c>
      <c r="M107" s="158">
        <v>12</v>
      </c>
      <c r="N107" s="159" t="s">
        <v>208</v>
      </c>
      <c r="O107" s="159" t="s">
        <v>209</v>
      </c>
      <c r="P107" s="160" t="s">
        <v>210</v>
      </c>
      <c r="Q107" s="160" t="s">
        <v>211</v>
      </c>
      <c r="R107" s="22"/>
      <c r="S107" s="22"/>
      <c r="T107" s="22"/>
    </row>
    <row r="108" spans="2:20" ht="18" customHeight="1">
      <c r="B108" s="26">
        <v>10</v>
      </c>
      <c r="C108" s="27" t="s">
        <v>9</v>
      </c>
      <c r="D108" s="35">
        <f>'[1]ÁREA ÚTIL'!$F$20*2</f>
        <v>51.52</v>
      </c>
      <c r="E108" s="164" t="e">
        <f t="shared" si="19"/>
        <v>#VALUE!</v>
      </c>
      <c r="F108" s="165"/>
      <c r="G108" s="162" t="e">
        <f t="shared" si="20"/>
        <v>#VALUE!</v>
      </c>
      <c r="H108" s="163"/>
      <c r="I108" s="2"/>
      <c r="J108" s="22"/>
      <c r="K108" s="159"/>
      <c r="L108" s="158"/>
      <c r="M108" s="158"/>
      <c r="N108" s="159"/>
      <c r="O108" s="159"/>
      <c r="P108" s="160"/>
      <c r="Q108" s="160"/>
      <c r="R108" s="22"/>
      <c r="S108" s="22"/>
      <c r="T108" s="22"/>
    </row>
    <row r="109" spans="2:20" ht="18" customHeight="1">
      <c r="B109" s="26">
        <v>11</v>
      </c>
      <c r="C109" s="27" t="s">
        <v>10</v>
      </c>
      <c r="D109" s="35">
        <f>'[1]ÁREA ÚTIL'!$F$21*2</f>
        <v>14.6</v>
      </c>
      <c r="E109" s="164" t="e">
        <f t="shared" si="19"/>
        <v>#VALUE!</v>
      </c>
      <c r="F109" s="165"/>
      <c r="G109" s="162" t="e">
        <f t="shared" si="20"/>
        <v>#VALUE!</v>
      </c>
      <c r="H109" s="163"/>
      <c r="I109" s="2"/>
      <c r="J109" s="22"/>
      <c r="K109" s="159"/>
      <c r="L109" s="158"/>
      <c r="M109" s="158"/>
      <c r="N109" s="159"/>
      <c r="O109" s="159"/>
      <c r="P109" s="160"/>
      <c r="Q109" s="160"/>
      <c r="R109" s="22"/>
      <c r="S109" s="22"/>
      <c r="T109" s="22"/>
    </row>
    <row r="110" spans="2:20" ht="18" customHeight="1">
      <c r="B110" s="26">
        <v>12</v>
      </c>
      <c r="C110" s="27" t="s">
        <v>11</v>
      </c>
      <c r="D110" s="35">
        <v>350</v>
      </c>
      <c r="E110" s="164" t="e">
        <f t="shared" si="19"/>
        <v>#VALUE!</v>
      </c>
      <c r="F110" s="165"/>
      <c r="G110" s="162" t="e">
        <f t="shared" si="20"/>
        <v>#VALUE!</v>
      </c>
      <c r="H110" s="163"/>
      <c r="I110" s="2"/>
      <c r="J110" s="22"/>
      <c r="R110" s="22"/>
      <c r="S110" s="22"/>
      <c r="T110" s="22"/>
    </row>
    <row r="111" spans="2:20" ht="18" customHeight="1">
      <c r="B111" s="26">
        <v>13</v>
      </c>
      <c r="C111" s="27" t="s">
        <v>12</v>
      </c>
      <c r="D111" s="35">
        <f>'[1]ÁREA ÚTIL'!$F$23*2</f>
        <v>36.479999999999997</v>
      </c>
      <c r="E111" s="164" t="e">
        <f t="shared" si="19"/>
        <v>#VALUE!</v>
      </c>
      <c r="F111" s="165"/>
      <c r="G111" s="162" t="e">
        <f t="shared" si="20"/>
        <v>#VALUE!</v>
      </c>
      <c r="H111" s="163"/>
      <c r="I111" s="2"/>
      <c r="J111" s="22"/>
      <c r="K111" s="150" t="s">
        <v>28</v>
      </c>
      <c r="L111" s="150"/>
      <c r="M111" s="148" t="s">
        <v>29</v>
      </c>
      <c r="N111" s="148"/>
      <c r="O111" s="148" t="s">
        <v>35</v>
      </c>
      <c r="P111" s="148"/>
      <c r="Q111" s="7" t="s">
        <v>36</v>
      </c>
      <c r="R111" s="7" t="s">
        <v>37</v>
      </c>
      <c r="S111" s="22"/>
      <c r="T111" s="22"/>
    </row>
    <row r="112" spans="2:20" ht="18" customHeight="1">
      <c r="B112" s="26">
        <v>14</v>
      </c>
      <c r="C112" s="27" t="s">
        <v>13</v>
      </c>
      <c r="D112" s="35">
        <f>'[1]ÁREA ÚTIL'!$F$24*2</f>
        <v>30.34</v>
      </c>
      <c r="E112" s="164" t="e">
        <f t="shared" si="19"/>
        <v>#VALUE!</v>
      </c>
      <c r="F112" s="165"/>
      <c r="G112" s="162" t="e">
        <f t="shared" si="20"/>
        <v>#VALUE!</v>
      </c>
      <c r="H112" s="163"/>
      <c r="I112" s="2"/>
      <c r="J112" s="22"/>
      <c r="K112" s="150"/>
      <c r="L112" s="150"/>
      <c r="M112" s="149" t="s">
        <v>222</v>
      </c>
      <c r="N112" s="149"/>
      <c r="O112" s="149" t="s">
        <v>213</v>
      </c>
      <c r="P112" s="149"/>
      <c r="Q112" s="149" t="s">
        <v>214</v>
      </c>
      <c r="R112" s="149" t="s">
        <v>185</v>
      </c>
      <c r="S112" s="22"/>
      <c r="T112" s="22"/>
    </row>
    <row r="113" spans="2:20" ht="18" customHeight="1">
      <c r="B113" s="26">
        <v>15</v>
      </c>
      <c r="C113" s="27" t="s">
        <v>18</v>
      </c>
      <c r="D113" s="35">
        <f>'[1]ÁREA ÚTIL'!$F$25*2</f>
        <v>57.14</v>
      </c>
      <c r="E113" s="164" t="e">
        <f t="shared" si="19"/>
        <v>#VALUE!</v>
      </c>
      <c r="F113" s="165"/>
      <c r="G113" s="162" t="e">
        <f t="shared" si="20"/>
        <v>#VALUE!</v>
      </c>
      <c r="H113" s="163"/>
      <c r="I113" s="2"/>
      <c r="J113" s="22"/>
      <c r="K113" s="150"/>
      <c r="L113" s="150"/>
      <c r="M113" s="149"/>
      <c r="N113" s="149"/>
      <c r="O113" s="149"/>
      <c r="P113" s="149"/>
      <c r="Q113" s="149"/>
      <c r="R113" s="149"/>
      <c r="S113" s="22"/>
      <c r="T113" s="22"/>
    </row>
    <row r="114" spans="2:20" ht="18" customHeight="1">
      <c r="B114" s="26">
        <v>16</v>
      </c>
      <c r="C114" s="27" t="s">
        <v>19</v>
      </c>
      <c r="D114" s="35">
        <f>'[1]ÁREA ÚTIL'!$F$26*2</f>
        <v>69.94</v>
      </c>
      <c r="E114" s="164" t="e">
        <f t="shared" si="19"/>
        <v>#VALUE!</v>
      </c>
      <c r="F114" s="165"/>
      <c r="G114" s="162" t="e">
        <f t="shared" si="20"/>
        <v>#VALUE!</v>
      </c>
      <c r="H114" s="163"/>
      <c r="I114" s="2"/>
      <c r="J114" s="22"/>
      <c r="K114" s="150" t="s">
        <v>32</v>
      </c>
      <c r="L114" s="150"/>
      <c r="M114" s="127" t="s">
        <v>31</v>
      </c>
      <c r="N114" s="151" t="e">
        <f>1/M115</f>
        <v>#VALUE!</v>
      </c>
      <c r="O114" s="152">
        <v>16</v>
      </c>
      <c r="P114" s="152"/>
      <c r="Q114" s="153">
        <f>1/191.4</f>
        <v>5.2246603970741903E-3</v>
      </c>
      <c r="R114" s="161" t="e">
        <f>N114*O114*Q114</f>
        <v>#VALUE!</v>
      </c>
      <c r="S114" s="22"/>
      <c r="T114" s="22"/>
    </row>
    <row r="115" spans="2:20" ht="18" customHeight="1">
      <c r="B115" s="26">
        <v>17</v>
      </c>
      <c r="C115" s="27" t="s">
        <v>20</v>
      </c>
      <c r="D115" s="35">
        <v>200</v>
      </c>
      <c r="E115" s="164" t="e">
        <f t="shared" si="19"/>
        <v>#VALUE!</v>
      </c>
      <c r="F115" s="165"/>
      <c r="G115" s="162" t="e">
        <f t="shared" si="20"/>
        <v>#VALUE!</v>
      </c>
      <c r="H115" s="163"/>
      <c r="I115" s="2"/>
      <c r="J115" s="22"/>
      <c r="K115" s="150"/>
      <c r="L115" s="150"/>
      <c r="M115" s="128" t="s">
        <v>220</v>
      </c>
      <c r="N115" s="151"/>
      <c r="O115" s="152"/>
      <c r="P115" s="152"/>
      <c r="Q115" s="153"/>
      <c r="R115" s="161"/>
      <c r="S115" s="22"/>
      <c r="T115" s="22"/>
    </row>
    <row r="116" spans="2:20" ht="18" customHeight="1">
      <c r="B116" s="26">
        <v>18</v>
      </c>
      <c r="C116" s="27" t="s">
        <v>85</v>
      </c>
      <c r="D116" s="35">
        <v>200</v>
      </c>
      <c r="E116" s="164" t="e">
        <f t="shared" si="19"/>
        <v>#VALUE!</v>
      </c>
      <c r="F116" s="165"/>
      <c r="G116" s="162" t="e">
        <f t="shared" ref="G116" si="22">D116*E116</f>
        <v>#VALUE!</v>
      </c>
      <c r="H116" s="163"/>
      <c r="I116" s="2"/>
      <c r="J116" s="22"/>
      <c r="R116" s="22"/>
      <c r="S116" s="22"/>
      <c r="T116" s="22"/>
    </row>
    <row r="117" spans="2:20" ht="18" customHeight="1">
      <c r="B117" s="26">
        <v>19</v>
      </c>
      <c r="C117" s="27" t="s">
        <v>14</v>
      </c>
      <c r="D117" s="35">
        <f>'[1]ÁREA ÚTIL'!$F$33*2</f>
        <v>118</v>
      </c>
      <c r="E117" s="164" t="e">
        <f t="shared" si="19"/>
        <v>#VALUE!</v>
      </c>
      <c r="F117" s="165"/>
      <c r="G117" s="162" t="e">
        <f t="shared" si="20"/>
        <v>#VALUE!</v>
      </c>
      <c r="H117" s="163"/>
      <c r="I117" s="2"/>
      <c r="J117" s="22"/>
      <c r="R117" s="22"/>
      <c r="S117" s="22"/>
      <c r="T117" s="22"/>
    </row>
    <row r="118" spans="2:20" ht="18" customHeight="1">
      <c r="B118" s="26">
        <v>20</v>
      </c>
      <c r="C118" s="27" t="s">
        <v>15</v>
      </c>
      <c r="D118" s="35">
        <f>'[1]ÁREA ÚTIL'!$F$34*2</f>
        <v>84.64</v>
      </c>
      <c r="E118" s="164" t="e">
        <f t="shared" si="19"/>
        <v>#VALUE!</v>
      </c>
      <c r="F118" s="165"/>
      <c r="G118" s="162" t="e">
        <f t="shared" si="20"/>
        <v>#VALUE!</v>
      </c>
      <c r="H118" s="163"/>
      <c r="I118" s="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2:20" ht="18" customHeight="1">
      <c r="B119" s="26">
        <v>21</v>
      </c>
      <c r="C119" s="27" t="s">
        <v>16</v>
      </c>
      <c r="D119" s="35">
        <f>'[1]ÁREA ÚTIL'!$F$35*2</f>
        <v>17.34</v>
      </c>
      <c r="E119" s="164" t="e">
        <f t="shared" si="19"/>
        <v>#VALUE!</v>
      </c>
      <c r="F119" s="165"/>
      <c r="G119" s="162" t="e">
        <f t="shared" si="20"/>
        <v>#VALUE!</v>
      </c>
      <c r="H119" s="163"/>
      <c r="I119" s="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2:20" ht="18" customHeight="1">
      <c r="B120" s="26">
        <v>22</v>
      </c>
      <c r="C120" s="27" t="s">
        <v>17</v>
      </c>
      <c r="D120" s="35">
        <f>'[1]ÁREA ÚTIL'!$F$36*2</f>
        <v>81.459999999999994</v>
      </c>
      <c r="E120" s="164" t="e">
        <f t="shared" si="19"/>
        <v>#VALUE!</v>
      </c>
      <c r="F120" s="165"/>
      <c r="G120" s="162" t="e">
        <f t="shared" si="20"/>
        <v>#VALUE!</v>
      </c>
      <c r="H120" s="163"/>
      <c r="I120" s="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2:20" ht="18" customHeight="1">
      <c r="B121" s="26">
        <v>23</v>
      </c>
      <c r="C121" s="27" t="s">
        <v>21</v>
      </c>
      <c r="D121" s="35">
        <f>'[1]ÁREA ÚTIL'!$F$28*2</f>
        <v>37.54</v>
      </c>
      <c r="E121" s="164" t="e">
        <f t="shared" si="19"/>
        <v>#VALUE!</v>
      </c>
      <c r="F121" s="165"/>
      <c r="G121" s="162" t="e">
        <f t="shared" si="20"/>
        <v>#VALUE!</v>
      </c>
      <c r="H121" s="163"/>
      <c r="I121" s="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2:20" ht="18" customHeight="1">
      <c r="B122" s="26">
        <v>24</v>
      </c>
      <c r="C122" s="27" t="s">
        <v>22</v>
      </c>
      <c r="D122" s="35">
        <f>'[1]ÁREA ÚTIL'!$F$29*2</f>
        <v>37.54</v>
      </c>
      <c r="E122" s="164" t="e">
        <f t="shared" si="19"/>
        <v>#VALUE!</v>
      </c>
      <c r="F122" s="165"/>
      <c r="G122" s="162" t="e">
        <f t="shared" si="20"/>
        <v>#VALUE!</v>
      </c>
      <c r="H122" s="163"/>
      <c r="I122" s="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2:20" ht="18" customHeight="1">
      <c r="B123" s="26">
        <v>25</v>
      </c>
      <c r="C123" s="27" t="s">
        <v>72</v>
      </c>
      <c r="D123" s="35">
        <v>427</v>
      </c>
      <c r="E123" s="164" t="e">
        <f t="shared" si="19"/>
        <v>#VALUE!</v>
      </c>
      <c r="F123" s="165"/>
      <c r="G123" s="162" t="e">
        <f t="shared" si="20"/>
        <v>#VALUE!</v>
      </c>
      <c r="H123" s="163"/>
      <c r="I123" s="2"/>
      <c r="J123" s="22"/>
      <c r="K123" s="96"/>
      <c r="L123" s="93"/>
      <c r="M123" s="22"/>
      <c r="N123" s="22"/>
      <c r="O123" s="22"/>
      <c r="P123" s="22"/>
      <c r="Q123" s="22"/>
      <c r="R123" s="22"/>
      <c r="S123" s="22"/>
      <c r="T123" s="22"/>
    </row>
    <row r="124" spans="2:20" ht="18" customHeight="1">
      <c r="B124" s="26">
        <v>26</v>
      </c>
      <c r="C124" s="27" t="s">
        <v>23</v>
      </c>
      <c r="D124" s="35">
        <f>'[1]ÁREA ÚTIL'!$F$31*2</f>
        <v>32.82</v>
      </c>
      <c r="E124" s="164" t="e">
        <f t="shared" si="19"/>
        <v>#VALUE!</v>
      </c>
      <c r="F124" s="165"/>
      <c r="G124" s="162" t="e">
        <f t="shared" si="20"/>
        <v>#VALUE!</v>
      </c>
      <c r="H124" s="163"/>
      <c r="I124" s="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2:20" ht="18" customHeight="1">
      <c r="B125" s="26">
        <v>27</v>
      </c>
      <c r="C125" s="27" t="s">
        <v>24</v>
      </c>
      <c r="D125" s="35">
        <f>'[1]ÁREA ÚTIL'!$F$32*2</f>
        <v>117.06</v>
      </c>
      <c r="E125" s="164" t="e">
        <f t="shared" si="19"/>
        <v>#VALUE!</v>
      </c>
      <c r="F125" s="165"/>
      <c r="G125" s="162" t="e">
        <f t="shared" si="20"/>
        <v>#VALUE!</v>
      </c>
      <c r="H125" s="163"/>
      <c r="I125" s="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2:20" ht="18" customHeight="1">
      <c r="B126" s="56"/>
      <c r="C126" s="56" t="s">
        <v>46</v>
      </c>
      <c r="D126" s="94">
        <f>SUM(D99:D125)</f>
        <v>3809.3</v>
      </c>
      <c r="E126" s="164"/>
      <c r="F126" s="165"/>
      <c r="G126" s="154" t="e">
        <f>SUM(G99:H125)</f>
        <v>#VALUE!</v>
      </c>
      <c r="H126" s="155"/>
      <c r="I126" s="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2:20">
      <c r="C127" s="23"/>
      <c r="D127" s="22"/>
      <c r="E127" s="22"/>
      <c r="F127" s="22"/>
      <c r="G127" s="22"/>
      <c r="H127" s="22"/>
      <c r="I127" s="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2:20" ht="21" customHeight="1">
      <c r="I128" s="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2:20" ht="21" customHeight="1">
      <c r="C129" s="23"/>
      <c r="D129" s="22"/>
      <c r="E129" s="22"/>
      <c r="F129" s="22"/>
      <c r="H129" s="25"/>
      <c r="I129" s="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2:20" ht="21" customHeight="1">
      <c r="B130" s="172" t="s">
        <v>89</v>
      </c>
      <c r="C130" s="172"/>
      <c r="D130" s="172"/>
      <c r="E130" s="172"/>
      <c r="F130" s="172"/>
      <c r="G130" s="172"/>
      <c r="H130" s="172"/>
      <c r="I130" s="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2:20" ht="21" customHeight="1">
      <c r="C131" s="23"/>
      <c r="D131" s="22"/>
      <c r="E131" s="22"/>
      <c r="F131" s="22"/>
      <c r="G131" s="24"/>
      <c r="H131" s="25"/>
      <c r="I131" s="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2:20" ht="21" customHeight="1">
      <c r="B132" s="173" t="s">
        <v>4</v>
      </c>
      <c r="C132" s="174" t="s">
        <v>0</v>
      </c>
      <c r="D132" s="176" t="s">
        <v>60</v>
      </c>
      <c r="E132" s="175" t="s">
        <v>33</v>
      </c>
      <c r="F132" s="175"/>
      <c r="G132" s="175" t="s">
        <v>34</v>
      </c>
      <c r="H132" s="175"/>
      <c r="I132" s="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2:20" ht="21" customHeight="1">
      <c r="B133" s="173"/>
      <c r="C133" s="174"/>
      <c r="D133" s="177"/>
      <c r="E133" s="145" t="s">
        <v>32</v>
      </c>
      <c r="F133" s="146"/>
      <c r="G133" s="145" t="s">
        <v>32</v>
      </c>
      <c r="H133" s="146"/>
      <c r="I133" s="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2:20" ht="17.25" customHeight="1">
      <c r="B134" s="26">
        <v>1</v>
      </c>
      <c r="C134" s="27" t="s">
        <v>2</v>
      </c>
      <c r="D134" s="26">
        <v>745.39</v>
      </c>
      <c r="E134" s="137" t="e">
        <f>R$149</f>
        <v>#VALUE!</v>
      </c>
      <c r="F134" s="138"/>
      <c r="G134" s="156" t="e">
        <f>D134*E134</f>
        <v>#VALUE!</v>
      </c>
      <c r="H134" s="157"/>
      <c r="I134" s="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2:20" ht="17.25" customHeight="1">
      <c r="B135" s="26">
        <v>2</v>
      </c>
      <c r="C135" s="27" t="s">
        <v>5</v>
      </c>
      <c r="D135" s="26">
        <v>0</v>
      </c>
      <c r="E135" s="137" t="e">
        <f t="shared" ref="E135:E160" si="23">R$149</f>
        <v>#VALUE!</v>
      </c>
      <c r="F135" s="138"/>
      <c r="G135" s="156" t="e">
        <f>D135*E135</f>
        <v>#VALUE!</v>
      </c>
      <c r="H135" s="157"/>
      <c r="I135" s="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2:20" ht="17.25" customHeight="1">
      <c r="B136" s="26">
        <v>3</v>
      </c>
      <c r="C136" s="27" t="s">
        <v>86</v>
      </c>
      <c r="D136" s="26">
        <v>173.22</v>
      </c>
      <c r="E136" s="137" t="e">
        <f t="shared" si="23"/>
        <v>#VALUE!</v>
      </c>
      <c r="F136" s="138"/>
      <c r="G136" s="156" t="e">
        <f t="shared" ref="G136:G160" si="24">D136*E136</f>
        <v>#VALUE!</v>
      </c>
      <c r="H136" s="157"/>
      <c r="I136" s="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2:20" ht="17.25" customHeight="1">
      <c r="B137" s="26">
        <v>4</v>
      </c>
      <c r="C137" s="27" t="s">
        <v>83</v>
      </c>
      <c r="D137" s="26">
        <v>217.79</v>
      </c>
      <c r="E137" s="137" t="e">
        <f t="shared" si="23"/>
        <v>#VALUE!</v>
      </c>
      <c r="F137" s="138"/>
      <c r="G137" s="156" t="e">
        <f t="shared" ref="G137:G139" si="25">D137*E137</f>
        <v>#VALUE!</v>
      </c>
      <c r="H137" s="157"/>
      <c r="I137" s="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2:20" ht="17.25" customHeight="1">
      <c r="B138" s="26">
        <v>5</v>
      </c>
      <c r="C138" s="27" t="s">
        <v>87</v>
      </c>
      <c r="D138" s="26">
        <v>217.79</v>
      </c>
      <c r="E138" s="137" t="e">
        <f t="shared" si="23"/>
        <v>#VALUE!</v>
      </c>
      <c r="F138" s="138"/>
      <c r="G138" s="156" t="e">
        <f t="shared" si="25"/>
        <v>#VALUE!</v>
      </c>
      <c r="H138" s="157"/>
      <c r="I138" s="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2:20" ht="17.25" customHeight="1">
      <c r="B139" s="26">
        <v>6</v>
      </c>
      <c r="C139" s="27" t="s">
        <v>84</v>
      </c>
      <c r="D139" s="26">
        <v>217.79</v>
      </c>
      <c r="E139" s="137" t="e">
        <f t="shared" si="23"/>
        <v>#VALUE!</v>
      </c>
      <c r="F139" s="138"/>
      <c r="G139" s="156" t="e">
        <f t="shared" si="25"/>
        <v>#VALUE!</v>
      </c>
      <c r="H139" s="157"/>
      <c r="I139" s="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2:20" ht="17.25" customHeight="1">
      <c r="B140" s="26">
        <v>7</v>
      </c>
      <c r="C140" s="27" t="s">
        <v>79</v>
      </c>
      <c r="D140" s="26">
        <v>217.79</v>
      </c>
      <c r="E140" s="137" t="e">
        <f t="shared" si="23"/>
        <v>#VALUE!</v>
      </c>
      <c r="F140" s="138"/>
      <c r="G140" s="156" t="e">
        <f t="shared" si="24"/>
        <v>#VALUE!</v>
      </c>
      <c r="H140" s="157"/>
      <c r="I140" s="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2:20" ht="17.25" customHeight="1">
      <c r="B141" s="26">
        <v>8</v>
      </c>
      <c r="C141" s="27" t="s">
        <v>7</v>
      </c>
      <c r="D141" s="26">
        <v>240.46</v>
      </c>
      <c r="E141" s="137" t="e">
        <f t="shared" si="23"/>
        <v>#VALUE!</v>
      </c>
      <c r="F141" s="138"/>
      <c r="G141" s="156" t="e">
        <f t="shared" si="24"/>
        <v>#VALUE!</v>
      </c>
      <c r="H141" s="157"/>
      <c r="I141" s="15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2:20" ht="17.25" customHeight="1">
      <c r="B142" s="26">
        <v>9</v>
      </c>
      <c r="C142" s="27" t="s">
        <v>8</v>
      </c>
      <c r="D142" s="26">
        <v>38.86</v>
      </c>
      <c r="E142" s="137" t="e">
        <f t="shared" si="23"/>
        <v>#VALUE!</v>
      </c>
      <c r="F142" s="138"/>
      <c r="G142" s="156" t="e">
        <f t="shared" si="24"/>
        <v>#VALUE!</v>
      </c>
      <c r="H142" s="157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2:20" ht="17.25" customHeight="1">
      <c r="B143" s="26">
        <v>10</v>
      </c>
      <c r="C143" s="27" t="s">
        <v>27</v>
      </c>
      <c r="D143" s="26">
        <v>522.33000000000004</v>
      </c>
      <c r="E143" s="137" t="e">
        <f t="shared" si="23"/>
        <v>#VALUE!</v>
      </c>
      <c r="F143" s="138"/>
      <c r="G143" s="156" t="e">
        <f t="shared" si="24"/>
        <v>#VALUE!</v>
      </c>
      <c r="H143" s="157"/>
      <c r="I143" s="22"/>
      <c r="J143" s="22"/>
      <c r="K143" s="22"/>
      <c r="L143" s="22"/>
      <c r="M143" s="22"/>
      <c r="N143" s="22"/>
      <c r="O143" s="22"/>
      <c r="P143" s="22"/>
      <c r="Q143" s="22"/>
    </row>
    <row r="144" spans="2:20" ht="17.25" customHeight="1">
      <c r="B144" s="26">
        <v>11</v>
      </c>
      <c r="C144" s="27" t="s">
        <v>10</v>
      </c>
      <c r="D144" s="26">
        <v>0</v>
      </c>
      <c r="E144" s="137" t="e">
        <f t="shared" si="23"/>
        <v>#VALUE!</v>
      </c>
      <c r="F144" s="138"/>
      <c r="G144" s="156" t="e">
        <f t="shared" si="24"/>
        <v>#VALUE!</v>
      </c>
      <c r="H144" s="157"/>
      <c r="I144" s="22"/>
      <c r="J144" s="22"/>
      <c r="K144" s="22"/>
      <c r="L144" s="22"/>
      <c r="M144" s="22"/>
      <c r="N144" s="22"/>
      <c r="O144" s="22"/>
      <c r="P144" s="22"/>
      <c r="Q144" s="22"/>
    </row>
    <row r="145" spans="2:20" ht="17.25" customHeight="1">
      <c r="B145" s="26">
        <v>12</v>
      </c>
      <c r="C145" s="27" t="s">
        <v>11</v>
      </c>
      <c r="D145" s="26">
        <v>0</v>
      </c>
      <c r="E145" s="137" t="e">
        <f t="shared" si="23"/>
        <v>#VALUE!</v>
      </c>
      <c r="F145" s="138"/>
      <c r="G145" s="156" t="e">
        <f t="shared" si="24"/>
        <v>#VALUE!</v>
      </c>
      <c r="H145" s="157"/>
      <c r="I145" s="22"/>
      <c r="J145" s="22"/>
      <c r="K145" s="22"/>
      <c r="L145" s="22"/>
      <c r="M145" s="22"/>
      <c r="N145" s="22"/>
      <c r="O145" s="22"/>
      <c r="P145" s="22"/>
      <c r="Q145" s="22"/>
    </row>
    <row r="146" spans="2:20" ht="17.25" customHeight="1">
      <c r="B146" s="26">
        <v>13</v>
      </c>
      <c r="C146" s="27" t="s">
        <v>12</v>
      </c>
      <c r="D146" s="26">
        <v>1465.71</v>
      </c>
      <c r="E146" s="137" t="e">
        <f t="shared" si="23"/>
        <v>#VALUE!</v>
      </c>
      <c r="F146" s="138"/>
      <c r="G146" s="156" t="e">
        <f t="shared" si="24"/>
        <v>#VALUE!</v>
      </c>
      <c r="H146" s="157"/>
      <c r="I146" s="22"/>
      <c r="J146" s="22"/>
      <c r="K146" s="150" t="s">
        <v>28</v>
      </c>
      <c r="L146" s="150"/>
      <c r="M146" s="148" t="s">
        <v>29</v>
      </c>
      <c r="N146" s="148"/>
      <c r="O146" s="148" t="s">
        <v>35</v>
      </c>
      <c r="P146" s="148"/>
      <c r="Q146" s="7" t="s">
        <v>36</v>
      </c>
      <c r="R146" s="7" t="s">
        <v>37</v>
      </c>
    </row>
    <row r="147" spans="2:20" ht="17.25" customHeight="1">
      <c r="B147" s="26">
        <v>14</v>
      </c>
      <c r="C147" s="27" t="s">
        <v>13</v>
      </c>
      <c r="D147" s="26">
        <v>471.2</v>
      </c>
      <c r="E147" s="137" t="e">
        <f t="shared" si="23"/>
        <v>#VALUE!</v>
      </c>
      <c r="F147" s="138"/>
      <c r="G147" s="156" t="e">
        <f t="shared" si="24"/>
        <v>#VALUE!</v>
      </c>
      <c r="H147" s="157"/>
      <c r="I147" s="22"/>
      <c r="J147" s="22"/>
      <c r="K147" s="150"/>
      <c r="L147" s="150"/>
      <c r="M147" s="149" t="s">
        <v>222</v>
      </c>
      <c r="N147" s="149"/>
      <c r="O147" s="149" t="s">
        <v>213</v>
      </c>
      <c r="P147" s="149"/>
      <c r="Q147" s="149" t="s">
        <v>214</v>
      </c>
      <c r="R147" s="149" t="s">
        <v>185</v>
      </c>
    </row>
    <row r="148" spans="2:20" ht="17.25" customHeight="1">
      <c r="B148" s="26">
        <v>15</v>
      </c>
      <c r="C148" s="27" t="s">
        <v>18</v>
      </c>
      <c r="D148" s="26">
        <v>1465.71</v>
      </c>
      <c r="E148" s="137" t="e">
        <f t="shared" si="23"/>
        <v>#VALUE!</v>
      </c>
      <c r="F148" s="138"/>
      <c r="G148" s="156" t="e">
        <f t="shared" si="24"/>
        <v>#VALUE!</v>
      </c>
      <c r="H148" s="157"/>
      <c r="I148" s="22"/>
      <c r="J148" s="22"/>
      <c r="K148" s="150"/>
      <c r="L148" s="150"/>
      <c r="M148" s="149"/>
      <c r="N148" s="149"/>
      <c r="O148" s="149"/>
      <c r="P148" s="149"/>
      <c r="Q148" s="149"/>
      <c r="R148" s="149"/>
    </row>
    <row r="149" spans="2:20" ht="17.25" customHeight="1">
      <c r="B149" s="26">
        <v>16</v>
      </c>
      <c r="C149" s="27" t="s">
        <v>19</v>
      </c>
      <c r="D149" s="26">
        <v>0</v>
      </c>
      <c r="E149" s="137" t="e">
        <f t="shared" si="23"/>
        <v>#VALUE!</v>
      </c>
      <c r="F149" s="138"/>
      <c r="G149" s="156" t="e">
        <f t="shared" si="24"/>
        <v>#VALUE!</v>
      </c>
      <c r="H149" s="157"/>
      <c r="I149" s="10"/>
      <c r="J149" s="22"/>
      <c r="K149" s="150" t="s">
        <v>32</v>
      </c>
      <c r="L149" s="150"/>
      <c r="M149" s="127" t="s">
        <v>31</v>
      </c>
      <c r="N149" s="151" t="e">
        <f>1/M150</f>
        <v>#VALUE!</v>
      </c>
      <c r="O149" s="152">
        <v>32</v>
      </c>
      <c r="P149" s="152"/>
      <c r="Q149" s="153">
        <f>1/191.4</f>
        <v>5.2246603970741903E-3</v>
      </c>
      <c r="R149" s="153" t="e">
        <f>N149*O149*Q149</f>
        <v>#VALUE!</v>
      </c>
      <c r="S149" s="22"/>
      <c r="T149" s="22"/>
    </row>
    <row r="150" spans="2:20" ht="17.25" customHeight="1">
      <c r="B150" s="26">
        <v>17</v>
      </c>
      <c r="C150" s="27" t="s">
        <v>20</v>
      </c>
      <c r="D150" s="26">
        <v>42.3</v>
      </c>
      <c r="E150" s="137" t="e">
        <f t="shared" si="23"/>
        <v>#VALUE!</v>
      </c>
      <c r="F150" s="138"/>
      <c r="G150" s="156" t="e">
        <f t="shared" si="24"/>
        <v>#VALUE!</v>
      </c>
      <c r="H150" s="157"/>
      <c r="J150" s="22"/>
      <c r="K150" s="150"/>
      <c r="L150" s="150"/>
      <c r="M150" s="128" t="s">
        <v>220</v>
      </c>
      <c r="N150" s="151"/>
      <c r="O150" s="152"/>
      <c r="P150" s="152"/>
      <c r="Q150" s="153"/>
      <c r="R150" s="153"/>
      <c r="S150" s="22"/>
      <c r="T150" s="22"/>
    </row>
    <row r="151" spans="2:20" ht="17.25" customHeight="1">
      <c r="B151" s="26">
        <v>18</v>
      </c>
      <c r="C151" s="27" t="s">
        <v>85</v>
      </c>
      <c r="D151" s="26">
        <v>0</v>
      </c>
      <c r="E151" s="137" t="e">
        <f t="shared" si="23"/>
        <v>#VALUE!</v>
      </c>
      <c r="F151" s="138"/>
      <c r="G151" s="156" t="e">
        <f t="shared" ref="G151" si="26">D151*E151</f>
        <v>#VALUE!</v>
      </c>
      <c r="H151" s="157"/>
      <c r="I151" s="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2:20" ht="17.25" customHeight="1">
      <c r="B152" s="26">
        <v>19</v>
      </c>
      <c r="C152" s="27" t="s">
        <v>14</v>
      </c>
      <c r="D152" s="26">
        <v>0</v>
      </c>
      <c r="E152" s="137" t="e">
        <f t="shared" si="23"/>
        <v>#VALUE!</v>
      </c>
      <c r="F152" s="138"/>
      <c r="G152" s="156" t="e">
        <f t="shared" si="24"/>
        <v>#VALUE!</v>
      </c>
      <c r="H152" s="157"/>
      <c r="I152" s="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2:20" ht="17.25" customHeight="1">
      <c r="B153" s="26">
        <v>20</v>
      </c>
      <c r="C153" s="27" t="s">
        <v>15</v>
      </c>
      <c r="D153" s="26">
        <v>0</v>
      </c>
      <c r="E153" s="137" t="e">
        <f t="shared" si="23"/>
        <v>#VALUE!</v>
      </c>
      <c r="F153" s="138"/>
      <c r="G153" s="156" t="e">
        <f t="shared" si="24"/>
        <v>#VALUE!</v>
      </c>
      <c r="H153" s="157"/>
      <c r="I153" s="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2:20" ht="17.25" customHeight="1">
      <c r="B154" s="26">
        <v>21</v>
      </c>
      <c r="C154" s="27" t="s">
        <v>16</v>
      </c>
      <c r="D154" s="26">
        <v>0</v>
      </c>
      <c r="E154" s="137" t="e">
        <f t="shared" si="23"/>
        <v>#VALUE!</v>
      </c>
      <c r="F154" s="138"/>
      <c r="G154" s="156" t="e">
        <f t="shared" si="24"/>
        <v>#VALUE!</v>
      </c>
      <c r="H154" s="157"/>
      <c r="I154" s="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2:20" ht="17.25" customHeight="1">
      <c r="B155" s="26">
        <v>22</v>
      </c>
      <c r="C155" s="27" t="s">
        <v>17</v>
      </c>
      <c r="D155" s="26">
        <v>106.1</v>
      </c>
      <c r="E155" s="137" t="e">
        <f t="shared" si="23"/>
        <v>#VALUE!</v>
      </c>
      <c r="F155" s="138"/>
      <c r="G155" s="156" t="e">
        <f t="shared" si="24"/>
        <v>#VALUE!</v>
      </c>
      <c r="H155" s="157"/>
      <c r="I155" s="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2:20" ht="17.25" customHeight="1">
      <c r="B156" s="26">
        <v>23</v>
      </c>
      <c r="C156" s="27" t="s">
        <v>21</v>
      </c>
      <c r="D156" s="26">
        <v>0</v>
      </c>
      <c r="E156" s="137" t="e">
        <f t="shared" si="23"/>
        <v>#VALUE!</v>
      </c>
      <c r="F156" s="138"/>
      <c r="G156" s="156" t="e">
        <f t="shared" si="24"/>
        <v>#VALUE!</v>
      </c>
      <c r="H156" s="157"/>
      <c r="I156" s="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2:20" ht="17.25" customHeight="1">
      <c r="B157" s="26">
        <v>24</v>
      </c>
      <c r="C157" s="27" t="s">
        <v>22</v>
      </c>
      <c r="D157" s="26">
        <v>0</v>
      </c>
      <c r="E157" s="137" t="e">
        <f t="shared" si="23"/>
        <v>#VALUE!</v>
      </c>
      <c r="F157" s="138"/>
      <c r="G157" s="156" t="e">
        <f t="shared" si="24"/>
        <v>#VALUE!</v>
      </c>
      <c r="H157" s="157"/>
      <c r="I157" s="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2:20" ht="17.25" customHeight="1">
      <c r="B158" s="26">
        <v>25</v>
      </c>
      <c r="C158" s="27" t="s">
        <v>72</v>
      </c>
      <c r="D158" s="26">
        <v>803.09</v>
      </c>
      <c r="E158" s="137" t="e">
        <f t="shared" si="23"/>
        <v>#VALUE!</v>
      </c>
      <c r="F158" s="138"/>
      <c r="G158" s="156" t="e">
        <f t="shared" si="24"/>
        <v>#VALUE!</v>
      </c>
      <c r="H158" s="157"/>
      <c r="I158" s="2"/>
      <c r="J158" s="22"/>
      <c r="K158" s="22"/>
      <c r="L158" s="22"/>
      <c r="T158" s="22"/>
    </row>
    <row r="159" spans="2:20" ht="17.25" customHeight="1">
      <c r="B159" s="26">
        <v>26</v>
      </c>
      <c r="C159" s="27" t="s">
        <v>23</v>
      </c>
      <c r="D159" s="26">
        <v>0</v>
      </c>
      <c r="E159" s="137" t="e">
        <f t="shared" si="23"/>
        <v>#VALUE!</v>
      </c>
      <c r="F159" s="138"/>
      <c r="G159" s="156" t="e">
        <f t="shared" si="24"/>
        <v>#VALUE!</v>
      </c>
      <c r="H159" s="157"/>
      <c r="I159" s="2"/>
      <c r="J159" s="22"/>
      <c r="K159" s="22"/>
      <c r="L159" s="22"/>
      <c r="N159" s="23"/>
      <c r="O159" s="22"/>
      <c r="P159" s="22"/>
      <c r="Q159" s="22"/>
      <c r="R159" s="24"/>
      <c r="S159" s="25"/>
      <c r="T159" s="22"/>
    </row>
    <row r="160" spans="2:20" ht="17.25" customHeight="1">
      <c r="B160" s="26">
        <v>27</v>
      </c>
      <c r="C160" s="27" t="s">
        <v>24</v>
      </c>
      <c r="D160" s="26">
        <v>117.02</v>
      </c>
      <c r="E160" s="137" t="e">
        <f t="shared" si="23"/>
        <v>#VALUE!</v>
      </c>
      <c r="F160" s="138"/>
      <c r="G160" s="156" t="e">
        <f t="shared" si="24"/>
        <v>#VALUE!</v>
      </c>
      <c r="H160" s="157"/>
      <c r="I160" s="2"/>
      <c r="J160" s="22"/>
      <c r="K160" s="22"/>
      <c r="L160" s="22"/>
    </row>
    <row r="161" spans="2:12">
      <c r="B161" s="26"/>
      <c r="C161" s="56" t="s">
        <v>46</v>
      </c>
      <c r="D161" s="56">
        <f>SUM(D147:D160)</f>
        <v>3005.42</v>
      </c>
      <c r="E161" s="137"/>
      <c r="F161" s="138"/>
      <c r="G161" s="154" t="e">
        <f>SUM(G135:H160)</f>
        <v>#VALUE!</v>
      </c>
      <c r="H161" s="155"/>
      <c r="I161" s="2"/>
      <c r="J161" s="22"/>
      <c r="K161" s="22"/>
      <c r="L161" s="22"/>
    </row>
    <row r="162" spans="2:12" ht="19.5" customHeight="1">
      <c r="C162" s="23"/>
      <c r="D162" s="22"/>
      <c r="E162" s="22"/>
      <c r="F162" s="22"/>
      <c r="G162" s="24"/>
      <c r="H162" s="25"/>
    </row>
    <row r="163" spans="2:12" ht="19.5" customHeight="1"/>
    <row r="164" spans="2:12" ht="19.5" customHeight="1">
      <c r="B164" s="172" t="s">
        <v>106</v>
      </c>
      <c r="C164" s="172"/>
      <c r="D164" s="172"/>
      <c r="E164" s="172"/>
      <c r="F164" s="172"/>
      <c r="G164" s="172"/>
      <c r="H164" s="172"/>
      <c r="I164" s="172"/>
      <c r="J164" s="172"/>
    </row>
    <row r="165" spans="2:12" ht="19.5" customHeight="1">
      <c r="C165" s="23"/>
      <c r="D165" s="22"/>
      <c r="E165" s="22"/>
      <c r="F165" s="22"/>
      <c r="G165" s="24"/>
      <c r="H165" s="25"/>
    </row>
    <row r="166" spans="2:12" ht="28.5" customHeight="1">
      <c r="B166" s="174" t="s">
        <v>4</v>
      </c>
      <c r="C166" s="190" t="s">
        <v>0</v>
      </c>
      <c r="D166" s="176" t="s">
        <v>107</v>
      </c>
      <c r="E166" s="176" t="s">
        <v>108</v>
      </c>
      <c r="F166" s="145" t="s">
        <v>33</v>
      </c>
      <c r="G166" s="146"/>
      <c r="H166" s="175" t="s">
        <v>34</v>
      </c>
      <c r="I166" s="175"/>
      <c r="J166" s="175"/>
    </row>
    <row r="167" spans="2:12" ht="28.5" customHeight="1">
      <c r="B167" s="174"/>
      <c r="C167" s="191"/>
      <c r="D167" s="177"/>
      <c r="E167" s="177"/>
      <c r="F167" s="145" t="s">
        <v>32</v>
      </c>
      <c r="G167" s="146"/>
      <c r="H167" s="145" t="s">
        <v>32</v>
      </c>
      <c r="I167" s="147"/>
      <c r="J167" s="146"/>
    </row>
    <row r="168" spans="2:12" ht="18" customHeight="1">
      <c r="B168" s="26">
        <v>1</v>
      </c>
      <c r="C168" s="27" t="s">
        <v>2</v>
      </c>
      <c r="D168" s="26">
        <v>8</v>
      </c>
      <c r="E168" s="17">
        <f>Banheiros!P15</f>
        <v>101.54220000000002</v>
      </c>
      <c r="F168" s="137" t="e">
        <f>F200</f>
        <v>#VALUE!</v>
      </c>
      <c r="G168" s="138"/>
      <c r="H168" s="142" t="e">
        <f>E168*F168</f>
        <v>#VALUE!</v>
      </c>
      <c r="I168" s="143"/>
      <c r="J168" s="144"/>
    </row>
    <row r="169" spans="2:12" ht="18" customHeight="1">
      <c r="B169" s="26">
        <v>2</v>
      </c>
      <c r="C169" s="27" t="s">
        <v>5</v>
      </c>
      <c r="D169" s="26">
        <v>4</v>
      </c>
      <c r="E169" s="17">
        <f>Banheiros!P16</f>
        <v>88.149000000000001</v>
      </c>
      <c r="F169" s="137" t="e">
        <f t="shared" ref="F169:F194" si="27">F$200</f>
        <v>#VALUE!</v>
      </c>
      <c r="G169" s="138"/>
      <c r="H169" s="142" t="e">
        <f>E169*F169</f>
        <v>#VALUE!</v>
      </c>
      <c r="I169" s="143"/>
      <c r="J169" s="144"/>
    </row>
    <row r="170" spans="2:12" ht="18" customHeight="1">
      <c r="B170" s="26">
        <v>3</v>
      </c>
      <c r="C170" s="27" t="s">
        <v>86</v>
      </c>
      <c r="D170" s="26">
        <v>14</v>
      </c>
      <c r="E170" s="17">
        <f>Banheiros!P17</f>
        <v>136.2723</v>
      </c>
      <c r="F170" s="137" t="e">
        <f t="shared" si="27"/>
        <v>#VALUE!</v>
      </c>
      <c r="G170" s="138"/>
      <c r="H170" s="142" t="e">
        <f t="shared" ref="H170:H194" si="28">E170*F170</f>
        <v>#VALUE!</v>
      </c>
      <c r="I170" s="143"/>
      <c r="J170" s="144"/>
    </row>
    <row r="171" spans="2:12" ht="18" customHeight="1">
      <c r="B171" s="26">
        <v>4</v>
      </c>
      <c r="C171" s="27" t="s">
        <v>83</v>
      </c>
      <c r="D171" s="26">
        <v>12</v>
      </c>
      <c r="E171" s="17">
        <f>Banheiros!P19</f>
        <v>138.10700000000003</v>
      </c>
      <c r="F171" s="137" t="e">
        <f t="shared" si="27"/>
        <v>#VALUE!</v>
      </c>
      <c r="G171" s="138"/>
      <c r="H171" s="142" t="e">
        <f t="shared" si="28"/>
        <v>#VALUE!</v>
      </c>
      <c r="I171" s="143"/>
      <c r="J171" s="144"/>
    </row>
    <row r="172" spans="2:12" ht="18" customHeight="1">
      <c r="B172" s="26">
        <v>5</v>
      </c>
      <c r="C172" s="27" t="s">
        <v>87</v>
      </c>
      <c r="D172" s="26">
        <v>12</v>
      </c>
      <c r="E172" s="17">
        <f>Banheiros!P21</f>
        <v>117.0814</v>
      </c>
      <c r="F172" s="137" t="e">
        <f t="shared" si="27"/>
        <v>#VALUE!</v>
      </c>
      <c r="G172" s="138"/>
      <c r="H172" s="142" t="e">
        <f t="shared" si="28"/>
        <v>#VALUE!</v>
      </c>
      <c r="I172" s="143"/>
      <c r="J172" s="144"/>
    </row>
    <row r="173" spans="2:12" ht="18" customHeight="1">
      <c r="B173" s="26">
        <v>6</v>
      </c>
      <c r="C173" s="27" t="s">
        <v>84</v>
      </c>
      <c r="D173" s="26">
        <v>12</v>
      </c>
      <c r="E173" s="17">
        <f>Banheiros!P23</f>
        <v>138.2269</v>
      </c>
      <c r="F173" s="137" t="e">
        <f t="shared" si="27"/>
        <v>#VALUE!</v>
      </c>
      <c r="G173" s="138"/>
      <c r="H173" s="142" t="e">
        <f t="shared" si="28"/>
        <v>#VALUE!</v>
      </c>
      <c r="I173" s="143"/>
      <c r="J173" s="144"/>
    </row>
    <row r="174" spans="2:12" ht="18" customHeight="1">
      <c r="B174" s="26">
        <v>7</v>
      </c>
      <c r="C174" s="27" t="s">
        <v>79</v>
      </c>
      <c r="D174" s="26">
        <v>12</v>
      </c>
      <c r="E174" s="17">
        <f>Banheiros!P25</f>
        <v>130.58959999999999</v>
      </c>
      <c r="F174" s="137" t="e">
        <f t="shared" si="27"/>
        <v>#VALUE!</v>
      </c>
      <c r="G174" s="138"/>
      <c r="H174" s="142" t="e">
        <f t="shared" si="28"/>
        <v>#VALUE!</v>
      </c>
      <c r="I174" s="143"/>
      <c r="J174" s="144"/>
    </row>
    <row r="175" spans="2:12" ht="18" customHeight="1">
      <c r="B175" s="26">
        <v>8</v>
      </c>
      <c r="C175" s="27" t="s">
        <v>7</v>
      </c>
      <c r="D175" s="26">
        <v>14</v>
      </c>
      <c r="E175" s="17">
        <f>Banheiros!P27</f>
        <v>124.53020000000002</v>
      </c>
      <c r="F175" s="137" t="e">
        <f t="shared" si="27"/>
        <v>#VALUE!</v>
      </c>
      <c r="G175" s="138"/>
      <c r="H175" s="142" t="e">
        <f t="shared" si="28"/>
        <v>#VALUE!</v>
      </c>
      <c r="I175" s="143"/>
      <c r="J175" s="144"/>
    </row>
    <row r="176" spans="2:12" ht="18" customHeight="1">
      <c r="B176" s="26">
        <v>9</v>
      </c>
      <c r="C176" s="27" t="s">
        <v>8</v>
      </c>
      <c r="D176" s="26">
        <v>4</v>
      </c>
      <c r="E176" s="17">
        <f>Banheiros!P29</f>
        <v>52.679200000000002</v>
      </c>
      <c r="F176" s="137" t="e">
        <f t="shared" si="27"/>
        <v>#VALUE!</v>
      </c>
      <c r="G176" s="138"/>
      <c r="H176" s="142" t="e">
        <f t="shared" si="28"/>
        <v>#VALUE!</v>
      </c>
      <c r="I176" s="143"/>
      <c r="J176" s="144"/>
    </row>
    <row r="177" spans="2:10" ht="18" customHeight="1">
      <c r="B177" s="26">
        <v>10</v>
      </c>
      <c r="C177" s="27" t="s">
        <v>27</v>
      </c>
      <c r="D177" s="26">
        <v>6</v>
      </c>
      <c r="E177" s="17">
        <f>Banheiros!P30</f>
        <v>101.1849</v>
      </c>
      <c r="F177" s="137" t="e">
        <f t="shared" si="27"/>
        <v>#VALUE!</v>
      </c>
      <c r="G177" s="138"/>
      <c r="H177" s="142" t="e">
        <f t="shared" si="28"/>
        <v>#VALUE!</v>
      </c>
      <c r="I177" s="143"/>
      <c r="J177" s="144"/>
    </row>
    <row r="178" spans="2:10" ht="18" customHeight="1">
      <c r="B178" s="26">
        <v>11</v>
      </c>
      <c r="C178" s="27" t="s">
        <v>10</v>
      </c>
      <c r="D178" s="26">
        <v>4</v>
      </c>
      <c r="E178" s="17">
        <f>Banheiros!P31</f>
        <v>43.123000000000005</v>
      </c>
      <c r="F178" s="137" t="e">
        <f t="shared" si="27"/>
        <v>#VALUE!</v>
      </c>
      <c r="G178" s="138"/>
      <c r="H178" s="142" t="e">
        <f t="shared" si="28"/>
        <v>#VALUE!</v>
      </c>
      <c r="I178" s="143"/>
      <c r="J178" s="144"/>
    </row>
    <row r="179" spans="2:10" ht="18" customHeight="1">
      <c r="B179" s="26">
        <v>12</v>
      </c>
      <c r="C179" s="27" t="s">
        <v>11</v>
      </c>
      <c r="D179" s="26">
        <v>4</v>
      </c>
      <c r="E179" s="17">
        <f>Banheiros!P32</f>
        <v>64.290300000000002</v>
      </c>
      <c r="F179" s="137" t="e">
        <f t="shared" si="27"/>
        <v>#VALUE!</v>
      </c>
      <c r="G179" s="138"/>
      <c r="H179" s="142" t="e">
        <f t="shared" si="28"/>
        <v>#VALUE!</v>
      </c>
      <c r="I179" s="143"/>
      <c r="J179" s="144"/>
    </row>
    <row r="180" spans="2:10" ht="18" customHeight="1">
      <c r="B180" s="26">
        <v>13</v>
      </c>
      <c r="C180" s="27" t="s">
        <v>12</v>
      </c>
      <c r="D180" s="26">
        <v>3</v>
      </c>
      <c r="E180" s="17">
        <f>Banheiros!P33</f>
        <v>34.65</v>
      </c>
      <c r="F180" s="137" t="e">
        <f t="shared" si="27"/>
        <v>#VALUE!</v>
      </c>
      <c r="G180" s="138"/>
      <c r="H180" s="142" t="e">
        <f t="shared" si="28"/>
        <v>#VALUE!</v>
      </c>
      <c r="I180" s="143"/>
      <c r="J180" s="144"/>
    </row>
    <row r="181" spans="2:10" ht="18" customHeight="1">
      <c r="B181" s="26">
        <v>14</v>
      </c>
      <c r="C181" s="27" t="s">
        <v>13</v>
      </c>
      <c r="D181" s="26">
        <v>4</v>
      </c>
      <c r="E181" s="17">
        <f>Banheiros!P34</f>
        <v>55.199999999999996</v>
      </c>
      <c r="F181" s="137" t="e">
        <f t="shared" si="27"/>
        <v>#VALUE!</v>
      </c>
      <c r="G181" s="138"/>
      <c r="H181" s="142" t="e">
        <f t="shared" si="28"/>
        <v>#VALUE!</v>
      </c>
      <c r="I181" s="143"/>
      <c r="J181" s="144"/>
    </row>
    <row r="182" spans="2:10" ht="18" customHeight="1">
      <c r="B182" s="26">
        <v>15</v>
      </c>
      <c r="C182" s="27" t="s">
        <v>18</v>
      </c>
      <c r="D182" s="26">
        <v>4</v>
      </c>
      <c r="E182" s="17">
        <f>Banheiros!P35</f>
        <v>45.651399999999995</v>
      </c>
      <c r="F182" s="137" t="e">
        <f t="shared" si="27"/>
        <v>#VALUE!</v>
      </c>
      <c r="G182" s="138"/>
      <c r="H182" s="142" t="e">
        <f t="shared" si="28"/>
        <v>#VALUE!</v>
      </c>
      <c r="I182" s="143"/>
      <c r="J182" s="144"/>
    </row>
    <row r="183" spans="2:10" ht="18" customHeight="1">
      <c r="B183" s="26">
        <v>16</v>
      </c>
      <c r="C183" s="27" t="s">
        <v>19</v>
      </c>
      <c r="D183" s="26">
        <v>4</v>
      </c>
      <c r="E183" s="17">
        <f>Banheiros!P37</f>
        <v>89.509299999999996</v>
      </c>
      <c r="F183" s="137" t="e">
        <f t="shared" si="27"/>
        <v>#VALUE!</v>
      </c>
      <c r="G183" s="138"/>
      <c r="H183" s="142" t="e">
        <f t="shared" si="28"/>
        <v>#VALUE!</v>
      </c>
      <c r="I183" s="143"/>
      <c r="J183" s="144"/>
    </row>
    <row r="184" spans="2:10" ht="18" customHeight="1">
      <c r="B184" s="26">
        <v>17</v>
      </c>
      <c r="C184" s="27" t="s">
        <v>20</v>
      </c>
      <c r="D184" s="26">
        <v>3</v>
      </c>
      <c r="E184" s="17">
        <f>Banheiros!P38</f>
        <v>43.382199999999997</v>
      </c>
      <c r="F184" s="137" t="e">
        <f t="shared" si="27"/>
        <v>#VALUE!</v>
      </c>
      <c r="G184" s="138"/>
      <c r="H184" s="142" t="e">
        <f t="shared" si="28"/>
        <v>#VALUE!</v>
      </c>
      <c r="I184" s="143"/>
      <c r="J184" s="144"/>
    </row>
    <row r="185" spans="2:10" ht="18" customHeight="1">
      <c r="B185" s="26">
        <v>18</v>
      </c>
      <c r="C185" s="27" t="s">
        <v>85</v>
      </c>
      <c r="D185" s="26">
        <v>3</v>
      </c>
      <c r="E185" s="17">
        <f>Banheiros!P36</f>
        <v>64.334000000000003</v>
      </c>
      <c r="F185" s="137" t="e">
        <f t="shared" si="27"/>
        <v>#VALUE!</v>
      </c>
      <c r="G185" s="138"/>
      <c r="H185" s="142" t="e">
        <f t="shared" si="28"/>
        <v>#VALUE!</v>
      </c>
      <c r="I185" s="143"/>
      <c r="J185" s="144"/>
    </row>
    <row r="186" spans="2:10" ht="18" customHeight="1">
      <c r="B186" s="26">
        <v>19</v>
      </c>
      <c r="C186" s="27" t="s">
        <v>14</v>
      </c>
      <c r="D186" s="26">
        <v>4</v>
      </c>
      <c r="E186" s="17">
        <f>Banheiros!P44</f>
        <v>52.834900000000005</v>
      </c>
      <c r="F186" s="137" t="e">
        <f t="shared" si="27"/>
        <v>#VALUE!</v>
      </c>
      <c r="G186" s="138"/>
      <c r="H186" s="142" t="e">
        <f t="shared" si="28"/>
        <v>#VALUE!</v>
      </c>
      <c r="I186" s="143"/>
      <c r="J186" s="144"/>
    </row>
    <row r="187" spans="2:10" ht="18" customHeight="1">
      <c r="B187" s="26">
        <v>20</v>
      </c>
      <c r="C187" s="27" t="s">
        <v>15</v>
      </c>
      <c r="D187" s="26">
        <v>4</v>
      </c>
      <c r="E187" s="17">
        <f>Banheiros!P45</f>
        <v>43.669400000000003</v>
      </c>
      <c r="F187" s="137" t="e">
        <f t="shared" si="27"/>
        <v>#VALUE!</v>
      </c>
      <c r="G187" s="138"/>
      <c r="H187" s="142" t="e">
        <f t="shared" si="28"/>
        <v>#VALUE!</v>
      </c>
      <c r="I187" s="143"/>
      <c r="J187" s="144"/>
    </row>
    <row r="188" spans="2:10" ht="18" customHeight="1">
      <c r="B188" s="26">
        <v>21</v>
      </c>
      <c r="C188" s="27" t="s">
        <v>16</v>
      </c>
      <c r="D188" s="26">
        <v>4</v>
      </c>
      <c r="E188" s="17">
        <f>Banheiros!P46</f>
        <v>41.708799999999997</v>
      </c>
      <c r="F188" s="137" t="e">
        <f t="shared" si="27"/>
        <v>#VALUE!</v>
      </c>
      <c r="G188" s="138"/>
      <c r="H188" s="142" t="e">
        <f t="shared" si="28"/>
        <v>#VALUE!</v>
      </c>
      <c r="I188" s="143"/>
      <c r="J188" s="144"/>
    </row>
    <row r="189" spans="2:10" ht="18" customHeight="1">
      <c r="B189" s="26">
        <v>22</v>
      </c>
      <c r="C189" s="27" t="s">
        <v>17</v>
      </c>
      <c r="D189" s="26">
        <v>7</v>
      </c>
      <c r="E189" s="17">
        <f>Banheiros!P47</f>
        <v>76.374800000000008</v>
      </c>
      <c r="F189" s="137" t="e">
        <f t="shared" si="27"/>
        <v>#VALUE!</v>
      </c>
      <c r="G189" s="138"/>
      <c r="H189" s="142" t="e">
        <f t="shared" si="28"/>
        <v>#VALUE!</v>
      </c>
      <c r="I189" s="143"/>
      <c r="J189" s="144"/>
    </row>
    <row r="190" spans="2:10" ht="18" customHeight="1">
      <c r="B190" s="26">
        <v>23</v>
      </c>
      <c r="C190" s="27" t="s">
        <v>21</v>
      </c>
      <c r="D190" s="26">
        <v>4</v>
      </c>
      <c r="E190" s="17">
        <f>Banheiros!P39</f>
        <v>38.821399999999997</v>
      </c>
      <c r="F190" s="137" t="e">
        <f t="shared" si="27"/>
        <v>#VALUE!</v>
      </c>
      <c r="G190" s="138"/>
      <c r="H190" s="142" t="e">
        <f t="shared" si="28"/>
        <v>#VALUE!</v>
      </c>
      <c r="I190" s="143"/>
      <c r="J190" s="144"/>
    </row>
    <row r="191" spans="2:10" ht="18" customHeight="1">
      <c r="B191" s="26">
        <v>24</v>
      </c>
      <c r="C191" s="27" t="s">
        <v>22</v>
      </c>
      <c r="D191" s="26">
        <v>4</v>
      </c>
      <c r="E191" s="17">
        <f>Banheiros!P40</f>
        <v>44.1995</v>
      </c>
      <c r="F191" s="137" t="e">
        <f t="shared" si="27"/>
        <v>#VALUE!</v>
      </c>
      <c r="G191" s="138"/>
      <c r="H191" s="142" t="e">
        <f t="shared" si="28"/>
        <v>#VALUE!</v>
      </c>
      <c r="I191" s="143"/>
      <c r="J191" s="144"/>
    </row>
    <row r="192" spans="2:10" ht="18" customHeight="1">
      <c r="B192" s="26">
        <v>25</v>
      </c>
      <c r="C192" s="27" t="s">
        <v>72</v>
      </c>
      <c r="D192" s="26">
        <v>5</v>
      </c>
      <c r="E192" s="17">
        <f>Banheiros!P41</f>
        <v>88.592800000000011</v>
      </c>
      <c r="F192" s="137" t="e">
        <f t="shared" si="27"/>
        <v>#VALUE!</v>
      </c>
      <c r="G192" s="138"/>
      <c r="H192" s="142" t="e">
        <f t="shared" si="28"/>
        <v>#VALUE!</v>
      </c>
      <c r="I192" s="143"/>
      <c r="J192" s="144"/>
    </row>
    <row r="193" spans="2:10" ht="18" customHeight="1">
      <c r="B193" s="26">
        <v>26</v>
      </c>
      <c r="C193" s="27" t="s">
        <v>23</v>
      </c>
      <c r="D193" s="26">
        <v>4</v>
      </c>
      <c r="E193" s="17">
        <f>Banheiros!P42</f>
        <v>35.037599999999998</v>
      </c>
      <c r="F193" s="137" t="e">
        <f t="shared" si="27"/>
        <v>#VALUE!</v>
      </c>
      <c r="G193" s="138"/>
      <c r="H193" s="142" t="e">
        <f t="shared" si="28"/>
        <v>#VALUE!</v>
      </c>
      <c r="I193" s="143"/>
      <c r="J193" s="144"/>
    </row>
    <row r="194" spans="2:10" ht="18" customHeight="1">
      <c r="B194" s="26">
        <v>27</v>
      </c>
      <c r="C194" s="27" t="s">
        <v>24</v>
      </c>
      <c r="D194" s="26">
        <v>9</v>
      </c>
      <c r="E194" s="17">
        <f>Banheiros!P43</f>
        <v>101.7612</v>
      </c>
      <c r="F194" s="137" t="e">
        <f t="shared" si="27"/>
        <v>#VALUE!</v>
      </c>
      <c r="G194" s="138"/>
      <c r="H194" s="142" t="e">
        <f t="shared" si="28"/>
        <v>#VALUE!</v>
      </c>
      <c r="I194" s="143"/>
      <c r="J194" s="144"/>
    </row>
    <row r="195" spans="2:10" ht="15" customHeight="1">
      <c r="B195" s="26"/>
      <c r="C195" s="56" t="s">
        <v>46</v>
      </c>
      <c r="D195" s="56">
        <f>SUM(D168:D194)</f>
        <v>172</v>
      </c>
      <c r="E195" s="91">
        <f>SUM(E168:E194)</f>
        <v>2091.5033000000003</v>
      </c>
      <c r="F195" s="137"/>
      <c r="G195" s="138"/>
      <c r="H195" s="139" t="e">
        <f>SUM(H168:J194)</f>
        <v>#VALUE!</v>
      </c>
      <c r="I195" s="140"/>
      <c r="J195" s="141"/>
    </row>
    <row r="198" spans="2:10">
      <c r="D198" s="188" t="s">
        <v>28</v>
      </c>
      <c r="E198" s="184" t="s">
        <v>29</v>
      </c>
      <c r="F198" s="185"/>
    </row>
    <row r="199" spans="2:10">
      <c r="D199" s="189"/>
      <c r="E199" s="186" t="s">
        <v>222</v>
      </c>
      <c r="F199" s="187"/>
    </row>
    <row r="200" spans="2:10">
      <c r="D200" s="188" t="s">
        <v>32</v>
      </c>
      <c r="E200" s="6" t="s">
        <v>31</v>
      </c>
      <c r="F200" s="170" t="e">
        <f>1/E201</f>
        <v>#VALUE!</v>
      </c>
    </row>
    <row r="201" spans="2:10">
      <c r="D201" s="189"/>
      <c r="E201" s="125" t="s">
        <v>220</v>
      </c>
      <c r="F201" s="171"/>
    </row>
  </sheetData>
  <mergeCells count="510">
    <mergeCell ref="B6:M6"/>
    <mergeCell ref="B4:M4"/>
    <mergeCell ref="B166:B167"/>
    <mergeCell ref="E9:F9"/>
    <mergeCell ref="F43:F44"/>
    <mergeCell ref="E42:F42"/>
    <mergeCell ref="E41:F41"/>
    <mergeCell ref="D41:D42"/>
    <mergeCell ref="D198:D199"/>
    <mergeCell ref="B53:B54"/>
    <mergeCell ref="G9:H9"/>
    <mergeCell ref="D9:D10"/>
    <mergeCell ref="C9:C10"/>
    <mergeCell ref="B9:B10"/>
    <mergeCell ref="E53:F53"/>
    <mergeCell ref="G53:H53"/>
    <mergeCell ref="D53:D54"/>
    <mergeCell ref="B164:J164"/>
    <mergeCell ref="D89:D90"/>
    <mergeCell ref="F89:F90"/>
    <mergeCell ref="G97:H97"/>
    <mergeCell ref="J53:K53"/>
    <mergeCell ref="M111:N111"/>
    <mergeCell ref="E198:F198"/>
    <mergeCell ref="E15:F15"/>
    <mergeCell ref="L53:M53"/>
    <mergeCell ref="J87:J88"/>
    <mergeCell ref="K87:L87"/>
    <mergeCell ref="K88:L88"/>
    <mergeCell ref="C53:C54"/>
    <mergeCell ref="D200:D201"/>
    <mergeCell ref="F200:F201"/>
    <mergeCell ref="E199:F199"/>
    <mergeCell ref="H166:J166"/>
    <mergeCell ref="D97:D98"/>
    <mergeCell ref="E97:F97"/>
    <mergeCell ref="D166:D167"/>
    <mergeCell ref="E166:E167"/>
    <mergeCell ref="F166:G166"/>
    <mergeCell ref="C166:C167"/>
    <mergeCell ref="E88:F88"/>
    <mergeCell ref="E104:F104"/>
    <mergeCell ref="E105:F105"/>
    <mergeCell ref="E106:F106"/>
    <mergeCell ref="E107:F107"/>
    <mergeCell ref="E108:F108"/>
    <mergeCell ref="E112:F112"/>
    <mergeCell ref="E113:F113"/>
    <mergeCell ref="E114:F114"/>
    <mergeCell ref="B2:M2"/>
    <mergeCell ref="B49:M49"/>
    <mergeCell ref="B52:H52"/>
    <mergeCell ref="J52:M52"/>
    <mergeCell ref="B8:H8"/>
    <mergeCell ref="J43:J44"/>
    <mergeCell ref="J9:K9"/>
    <mergeCell ref="L9:M9"/>
    <mergeCell ref="J8:M8"/>
    <mergeCell ref="L43:L44"/>
    <mergeCell ref="K41:L41"/>
    <mergeCell ref="K42:L42"/>
    <mergeCell ref="J41:J42"/>
    <mergeCell ref="D43:D44"/>
    <mergeCell ref="E10:F10"/>
    <mergeCell ref="E11:F11"/>
    <mergeCell ref="E12:F12"/>
    <mergeCell ref="D87:D88"/>
    <mergeCell ref="E87:F87"/>
    <mergeCell ref="E13:F13"/>
    <mergeCell ref="E14:F14"/>
    <mergeCell ref="E109:F109"/>
    <mergeCell ref="E110:F110"/>
    <mergeCell ref="E111:F111"/>
    <mergeCell ref="B94:H94"/>
    <mergeCell ref="B130:H130"/>
    <mergeCell ref="B132:B133"/>
    <mergeCell ref="C132:C133"/>
    <mergeCell ref="E132:F132"/>
    <mergeCell ref="G132:H132"/>
    <mergeCell ref="D132:D133"/>
    <mergeCell ref="B97:B98"/>
    <mergeCell ref="C97:C98"/>
    <mergeCell ref="E120:F120"/>
    <mergeCell ref="E121:F121"/>
    <mergeCell ref="E122:F122"/>
    <mergeCell ref="E123:F123"/>
    <mergeCell ref="G101:H101"/>
    <mergeCell ref="G102:H102"/>
    <mergeCell ref="G103:H103"/>
    <mergeCell ref="G104:H104"/>
    <mergeCell ref="G105:H105"/>
    <mergeCell ref="G106:H106"/>
    <mergeCell ref="G107:H107"/>
    <mergeCell ref="G108:H108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G28:H28"/>
    <mergeCell ref="G29:H29"/>
    <mergeCell ref="E25:F25"/>
    <mergeCell ref="E26:F26"/>
    <mergeCell ref="E27:F27"/>
    <mergeCell ref="E28:F28"/>
    <mergeCell ref="E29:F29"/>
    <mergeCell ref="E30:F30"/>
    <mergeCell ref="E31:F31"/>
    <mergeCell ref="G30:H30"/>
    <mergeCell ref="G31:H31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32:H32"/>
    <mergeCell ref="G33:H33"/>
    <mergeCell ref="G34:H34"/>
    <mergeCell ref="G35:H35"/>
    <mergeCell ref="G36:H36"/>
    <mergeCell ref="G37:H37"/>
    <mergeCell ref="E38:F38"/>
    <mergeCell ref="G38:H38"/>
    <mergeCell ref="E34:F34"/>
    <mergeCell ref="E35:F35"/>
    <mergeCell ref="E36:F36"/>
    <mergeCell ref="E37:F37"/>
    <mergeCell ref="E32:F32"/>
    <mergeCell ref="E33:F33"/>
    <mergeCell ref="J11:K11"/>
    <mergeCell ref="L11:M11"/>
    <mergeCell ref="L10:M10"/>
    <mergeCell ref="J10:K10"/>
    <mergeCell ref="J12:K12"/>
    <mergeCell ref="J13:K13"/>
    <mergeCell ref="J14:K14"/>
    <mergeCell ref="J15:K15"/>
    <mergeCell ref="J16:K16"/>
    <mergeCell ref="L12:M12"/>
    <mergeCell ref="L13:M13"/>
    <mergeCell ref="L14:M14"/>
    <mergeCell ref="L15:M15"/>
    <mergeCell ref="L16:M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L28:M28"/>
    <mergeCell ref="L29:M29"/>
    <mergeCell ref="L30:M30"/>
    <mergeCell ref="L31:M31"/>
    <mergeCell ref="L32:M32"/>
    <mergeCell ref="J26:K26"/>
    <mergeCell ref="J27:K27"/>
    <mergeCell ref="J28:K28"/>
    <mergeCell ref="J29:K29"/>
    <mergeCell ref="J30:K30"/>
    <mergeCell ref="J31:K31"/>
    <mergeCell ref="J32:K32"/>
    <mergeCell ref="L38:M38"/>
    <mergeCell ref="E54:F54"/>
    <mergeCell ref="G54:H54"/>
    <mergeCell ref="J54:K54"/>
    <mergeCell ref="L54:M54"/>
    <mergeCell ref="J35:K35"/>
    <mergeCell ref="J36:K36"/>
    <mergeCell ref="J37:K37"/>
    <mergeCell ref="L17:M17"/>
    <mergeCell ref="L18:M18"/>
    <mergeCell ref="L19:M19"/>
    <mergeCell ref="L20:M20"/>
    <mergeCell ref="L33:M33"/>
    <mergeCell ref="L34:M34"/>
    <mergeCell ref="L35:M35"/>
    <mergeCell ref="L36:M36"/>
    <mergeCell ref="L37:M37"/>
    <mergeCell ref="L21:M21"/>
    <mergeCell ref="L22:M22"/>
    <mergeCell ref="L23:M23"/>
    <mergeCell ref="L24:M24"/>
    <mergeCell ref="L25:M25"/>
    <mergeCell ref="L26:M26"/>
    <mergeCell ref="L27:M27"/>
    <mergeCell ref="J33:K33"/>
    <mergeCell ref="J34:K34"/>
    <mergeCell ref="E55:F55"/>
    <mergeCell ref="E56:F56"/>
    <mergeCell ref="E57:F57"/>
    <mergeCell ref="E58:F58"/>
    <mergeCell ref="E59:F59"/>
    <mergeCell ref="E60:F60"/>
    <mergeCell ref="E61:F61"/>
    <mergeCell ref="G55:H55"/>
    <mergeCell ref="G56:H56"/>
    <mergeCell ref="G57:H57"/>
    <mergeCell ref="G58:H58"/>
    <mergeCell ref="G59:H59"/>
    <mergeCell ref="G60:H60"/>
    <mergeCell ref="G61:H61"/>
    <mergeCell ref="J38:K38"/>
    <mergeCell ref="E62:F62"/>
    <mergeCell ref="E63:F63"/>
    <mergeCell ref="E78:F78"/>
    <mergeCell ref="E79:F79"/>
    <mergeCell ref="E80:F80"/>
    <mergeCell ref="E81:F81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G73:H73"/>
    <mergeCell ref="G74:H74"/>
    <mergeCell ref="G75:H75"/>
    <mergeCell ref="G76:H76"/>
    <mergeCell ref="G77:H77"/>
    <mergeCell ref="E73:F73"/>
    <mergeCell ref="E74:F74"/>
    <mergeCell ref="E75:F75"/>
    <mergeCell ref="E76:F76"/>
    <mergeCell ref="E77:F77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62:H62"/>
    <mergeCell ref="G63:H63"/>
    <mergeCell ref="G78:H78"/>
    <mergeCell ref="G79:H79"/>
    <mergeCell ref="G80:H80"/>
    <mergeCell ref="G81:H81"/>
    <mergeCell ref="G82:H82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E116:F116"/>
    <mergeCell ref="E117:F117"/>
    <mergeCell ref="E118:F118"/>
    <mergeCell ref="E119:F119"/>
    <mergeCell ref="L82:M82"/>
    <mergeCell ref="E98:F98"/>
    <mergeCell ref="G98:H98"/>
    <mergeCell ref="E99:F99"/>
    <mergeCell ref="G99:H99"/>
    <mergeCell ref="E100:F100"/>
    <mergeCell ref="E101:F101"/>
    <mergeCell ref="E102:F102"/>
    <mergeCell ref="E103:F103"/>
    <mergeCell ref="L103:L106"/>
    <mergeCell ref="M103:M106"/>
    <mergeCell ref="E82:F82"/>
    <mergeCell ref="J89:J90"/>
    <mergeCell ref="L89:L90"/>
    <mergeCell ref="G100:H100"/>
    <mergeCell ref="G121:H121"/>
    <mergeCell ref="G122:H122"/>
    <mergeCell ref="G123:H123"/>
    <mergeCell ref="G124:H124"/>
    <mergeCell ref="G125:H125"/>
    <mergeCell ref="G126:H126"/>
    <mergeCell ref="K103:K106"/>
    <mergeCell ref="K114:L115"/>
    <mergeCell ref="E124:F124"/>
    <mergeCell ref="E125:F125"/>
    <mergeCell ref="E126:F126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E115:F115"/>
    <mergeCell ref="M112:N113"/>
    <mergeCell ref="Q112:Q113"/>
    <mergeCell ref="K111:L113"/>
    <mergeCell ref="O111:P111"/>
    <mergeCell ref="O112:P113"/>
    <mergeCell ref="R112:R113"/>
    <mergeCell ref="O114:P115"/>
    <mergeCell ref="N103:N106"/>
    <mergeCell ref="O103:O106"/>
    <mergeCell ref="P103:P106"/>
    <mergeCell ref="Q103:Q106"/>
    <mergeCell ref="K107:K109"/>
    <mergeCell ref="Q107:Q109"/>
    <mergeCell ref="P107:P109"/>
    <mergeCell ref="O107:O109"/>
    <mergeCell ref="N107:N109"/>
    <mergeCell ref="M107:M109"/>
    <mergeCell ref="L107:L109"/>
    <mergeCell ref="R114:R115"/>
    <mergeCell ref="N114:N115"/>
    <mergeCell ref="Q114:Q115"/>
    <mergeCell ref="E133:F133"/>
    <mergeCell ref="G133:H133"/>
    <mergeCell ref="E134:F134"/>
    <mergeCell ref="G134:H134"/>
    <mergeCell ref="E135:F135"/>
    <mergeCell ref="E136:F136"/>
    <mergeCell ref="E137:F137"/>
    <mergeCell ref="E138:F138"/>
    <mergeCell ref="E139:F139"/>
    <mergeCell ref="G135:H135"/>
    <mergeCell ref="G136:H136"/>
    <mergeCell ref="G137:H137"/>
    <mergeCell ref="G138:H138"/>
    <mergeCell ref="G139:H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G140:H140"/>
    <mergeCell ref="G141:H141"/>
    <mergeCell ref="G142:H142"/>
    <mergeCell ref="G143:H143"/>
    <mergeCell ref="G156:H156"/>
    <mergeCell ref="G157:H157"/>
    <mergeCell ref="G158:H158"/>
    <mergeCell ref="G159:H159"/>
    <mergeCell ref="G160:H160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61:H161"/>
    <mergeCell ref="E161:F161"/>
    <mergeCell ref="K146:L148"/>
    <mergeCell ref="M146:N146"/>
    <mergeCell ref="E158:F158"/>
    <mergeCell ref="E159:F159"/>
    <mergeCell ref="E160:F160"/>
    <mergeCell ref="G153:H153"/>
    <mergeCell ref="G154:H154"/>
    <mergeCell ref="G155:H155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O146:P146"/>
    <mergeCell ref="M147:N148"/>
    <mergeCell ref="O147:P148"/>
    <mergeCell ref="Q147:Q148"/>
    <mergeCell ref="R147:R148"/>
    <mergeCell ref="K149:L150"/>
    <mergeCell ref="N149:N150"/>
    <mergeCell ref="O149:P150"/>
    <mergeCell ref="Q149:Q150"/>
    <mergeCell ref="R149:R150"/>
    <mergeCell ref="F167:G167"/>
    <mergeCell ref="H167:J167"/>
    <mergeCell ref="F168:G168"/>
    <mergeCell ref="H168:J168"/>
    <mergeCell ref="F169:G169"/>
    <mergeCell ref="F170:G170"/>
    <mergeCell ref="F171:G171"/>
    <mergeCell ref="F172:G172"/>
    <mergeCell ref="F173:G173"/>
    <mergeCell ref="H169:J169"/>
    <mergeCell ref="H170:J170"/>
    <mergeCell ref="H171:J171"/>
    <mergeCell ref="H172:J172"/>
    <mergeCell ref="H173:J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H186:J186"/>
    <mergeCell ref="H187:J187"/>
    <mergeCell ref="H188:J188"/>
    <mergeCell ref="H189:J189"/>
    <mergeCell ref="F183:G183"/>
    <mergeCell ref="F184:G184"/>
    <mergeCell ref="F185:G185"/>
    <mergeCell ref="F186:G186"/>
    <mergeCell ref="F187:G187"/>
    <mergeCell ref="F188:G188"/>
    <mergeCell ref="F189:G189"/>
    <mergeCell ref="F195:G195"/>
    <mergeCell ref="H195:J195"/>
    <mergeCell ref="F192:G192"/>
    <mergeCell ref="F193:G193"/>
    <mergeCell ref="F194:G194"/>
    <mergeCell ref="F190:G190"/>
    <mergeCell ref="F191:G191"/>
    <mergeCell ref="H174:J174"/>
    <mergeCell ref="H175:J175"/>
    <mergeCell ref="H176:J176"/>
    <mergeCell ref="H177:J177"/>
    <mergeCell ref="H190:J190"/>
    <mergeCell ref="H191:J191"/>
    <mergeCell ref="H192:J192"/>
    <mergeCell ref="H193:J193"/>
    <mergeCell ref="H194:J194"/>
    <mergeCell ref="H178:J178"/>
    <mergeCell ref="H179:J179"/>
    <mergeCell ref="H180:J180"/>
    <mergeCell ref="H181:J181"/>
    <mergeCell ref="H182:J182"/>
    <mergeCell ref="H183:J183"/>
    <mergeCell ref="H184:J184"/>
    <mergeCell ref="H185:J185"/>
  </mergeCells>
  <pageMargins left="2.204724409448819" right="0.19685039370078741" top="0.9" bottom="0.39370078740157483" header="0.31496062992125984" footer="0.31496062992125984"/>
  <pageSetup paperSize="9" scale="51" orientation="landscape" r:id="rId1"/>
  <rowBreaks count="2" manualBreakCount="2">
    <brk id="92" max="12" man="1"/>
    <brk id="162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R50"/>
  <sheetViews>
    <sheetView zoomScale="86" zoomScaleNormal="86" workbookViewId="0">
      <pane ySplit="7" topLeftCell="A8" activePane="bottomLeft" state="frozen"/>
      <selection pane="bottomLeft" sqref="A1:XFD1048576"/>
    </sheetView>
  </sheetViews>
  <sheetFormatPr defaultRowHeight="15"/>
  <cols>
    <col min="1" max="1" width="9.140625" style="1" customWidth="1"/>
    <col min="2" max="5" width="9.140625" style="1"/>
    <col min="6" max="16" width="15.7109375" style="1" customWidth="1"/>
    <col min="17" max="16384" width="9.140625" style="1"/>
  </cols>
  <sheetData>
    <row r="2" spans="2:18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2:18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2:18" ht="17.25">
      <c r="B4" s="199" t="s">
        <v>197</v>
      </c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55"/>
      <c r="R4" s="55"/>
    </row>
    <row r="5" spans="2:18"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55"/>
      <c r="R5" s="55"/>
    </row>
    <row r="6" spans="2:18" ht="19.5" customHeight="1">
      <c r="B6" s="207" t="s">
        <v>159</v>
      </c>
      <c r="C6" s="208"/>
      <c r="D6" s="208"/>
      <c r="E6" s="209"/>
      <c r="F6" s="201" t="s">
        <v>219</v>
      </c>
      <c r="G6" s="201"/>
      <c r="H6" s="201"/>
      <c r="I6" s="201"/>
      <c r="J6" s="201"/>
      <c r="K6" s="201"/>
      <c r="L6" s="201"/>
      <c r="M6" s="201"/>
      <c r="N6" s="201"/>
      <c r="O6" s="201"/>
      <c r="P6" s="196" t="s">
        <v>46</v>
      </c>
      <c r="Q6" s="55"/>
      <c r="R6" s="55"/>
    </row>
    <row r="7" spans="2:18" ht="19.5" customHeight="1">
      <c r="B7" s="210"/>
      <c r="C7" s="211"/>
      <c r="D7" s="211"/>
      <c r="E7" s="212"/>
      <c r="F7" s="130">
        <v>1</v>
      </c>
      <c r="G7" s="130">
        <v>2</v>
      </c>
      <c r="H7" s="130">
        <v>3</v>
      </c>
      <c r="I7" s="130">
        <v>4</v>
      </c>
      <c r="J7" s="130">
        <v>5</v>
      </c>
      <c r="K7" s="130">
        <v>6</v>
      </c>
      <c r="L7" s="130">
        <v>7</v>
      </c>
      <c r="M7" s="130">
        <v>8</v>
      </c>
      <c r="N7" s="130">
        <v>9</v>
      </c>
      <c r="O7" s="130">
        <v>10</v>
      </c>
      <c r="P7" s="197"/>
      <c r="Q7" s="55"/>
      <c r="R7" s="55"/>
    </row>
    <row r="8" spans="2:18" ht="18.75" customHeight="1">
      <c r="B8" s="198" t="s">
        <v>160</v>
      </c>
      <c r="C8" s="198"/>
      <c r="D8" s="198"/>
      <c r="E8" s="198"/>
      <c r="F8" s="131">
        <f>5.67*3.47</f>
        <v>19.674900000000001</v>
      </c>
      <c r="G8" s="131">
        <f>5.67*3.47</f>
        <v>19.674900000000001</v>
      </c>
      <c r="H8" s="131">
        <f>5.65*2.15</f>
        <v>12.147500000000001</v>
      </c>
      <c r="I8" s="131">
        <f>5.77*2.1</f>
        <v>12.116999999999999</v>
      </c>
      <c r="J8" s="131">
        <f>3.83*2.03</f>
        <v>7.7748999999999997</v>
      </c>
      <c r="K8" s="131">
        <f>3.86*2.1</f>
        <v>8.1059999999999999</v>
      </c>
      <c r="L8" s="131">
        <f>5.35*1.72</f>
        <v>9.202</v>
      </c>
      <c r="M8" s="131">
        <f>4.25*1.92</f>
        <v>8.16</v>
      </c>
      <c r="N8" s="131">
        <f>5.76*3.44</f>
        <v>19.814399999999999</v>
      </c>
      <c r="O8" s="131">
        <f>5.76*3.44</f>
        <v>19.814399999999999</v>
      </c>
      <c r="P8" s="202">
        <f>SUM(F8:O12)</f>
        <v>599.75849999999991</v>
      </c>
      <c r="Q8" s="55"/>
      <c r="R8" s="55"/>
    </row>
    <row r="9" spans="2:18" ht="18.75" customHeight="1">
      <c r="B9" s="198"/>
      <c r="C9" s="198"/>
      <c r="D9" s="198"/>
      <c r="E9" s="198"/>
      <c r="F9" s="131">
        <f>2.37*1.05</f>
        <v>2.4885000000000002</v>
      </c>
      <c r="G9" s="131">
        <f>2.39*1.07</f>
        <v>2.5573000000000001</v>
      </c>
      <c r="H9" s="131">
        <f>2.46*1.07</f>
        <v>2.6322000000000001</v>
      </c>
      <c r="I9" s="131">
        <f>2.47*1.04</f>
        <v>2.5688000000000004</v>
      </c>
      <c r="J9" s="131">
        <f>2.41*1.04</f>
        <v>2.5064000000000002</v>
      </c>
      <c r="K9" s="131">
        <f>2.37*1.07</f>
        <v>2.5359000000000003</v>
      </c>
      <c r="L9" s="131">
        <f>1.68*1.09</f>
        <v>1.8312000000000002</v>
      </c>
      <c r="M9" s="131">
        <f>1.68*1.09</f>
        <v>1.8312000000000002</v>
      </c>
      <c r="N9" s="131">
        <f>8.58*2.99</f>
        <v>25.654200000000003</v>
      </c>
      <c r="O9" s="131">
        <f>3.46*2.88</f>
        <v>9.9648000000000003</v>
      </c>
      <c r="P9" s="198"/>
      <c r="Q9" s="55"/>
      <c r="R9" s="55"/>
    </row>
    <row r="10" spans="2:18" ht="18.75" customHeight="1">
      <c r="B10" s="198"/>
      <c r="C10" s="198"/>
      <c r="D10" s="198"/>
      <c r="E10" s="198"/>
      <c r="F10" s="131">
        <f>3.44*2.85</f>
        <v>9.8040000000000003</v>
      </c>
      <c r="G10" s="131">
        <f>5.06*2.3</f>
        <v>11.637999999999998</v>
      </c>
      <c r="H10" s="131">
        <f>5.06*2.3</f>
        <v>11.637999999999998</v>
      </c>
      <c r="I10" s="131">
        <f>2.41*2.33</f>
        <v>5.6153000000000004</v>
      </c>
      <c r="J10" s="131">
        <f>2.36*2.33</f>
        <v>5.4988000000000001</v>
      </c>
      <c r="K10" s="131">
        <f>4.76*3.08</f>
        <v>14.6608</v>
      </c>
      <c r="L10" s="131">
        <f>4.77*2.96</f>
        <v>14.119199999999999</v>
      </c>
      <c r="M10" s="131">
        <f>4.76*3.08</f>
        <v>14.6608</v>
      </c>
      <c r="N10" s="131">
        <f>4.76*2.93</f>
        <v>13.9468</v>
      </c>
      <c r="O10" s="131">
        <f>2.32*1.49</f>
        <v>3.4567999999999999</v>
      </c>
      <c r="P10" s="198"/>
      <c r="Q10" s="55"/>
      <c r="R10" s="55"/>
    </row>
    <row r="11" spans="2:18" ht="18.75" customHeight="1">
      <c r="B11" s="198"/>
      <c r="C11" s="198"/>
      <c r="D11" s="198"/>
      <c r="E11" s="198"/>
      <c r="F11" s="131">
        <f>2.1*1.1</f>
        <v>2.3100000000000005</v>
      </c>
      <c r="G11" s="131">
        <f>2.7*1.15</f>
        <v>3.105</v>
      </c>
      <c r="H11" s="131">
        <f>2.7*1.15</f>
        <v>3.105</v>
      </c>
      <c r="I11" s="131">
        <f>2.61*2.01</f>
        <v>5.2460999999999993</v>
      </c>
      <c r="J11" s="131">
        <f>6.94*3.4</f>
        <v>23.596</v>
      </c>
      <c r="K11" s="131">
        <f>8.88*3.42</f>
        <v>30.369600000000002</v>
      </c>
      <c r="L11" s="131">
        <f>6*3.4</f>
        <v>20.399999999999999</v>
      </c>
      <c r="M11" s="131">
        <f>4.03*3.41</f>
        <v>13.742300000000002</v>
      </c>
      <c r="N11" s="131">
        <f>7.51*2.36</f>
        <v>17.723599999999998</v>
      </c>
      <c r="O11" s="131">
        <f>6.1*2.36</f>
        <v>14.395999999999999</v>
      </c>
      <c r="P11" s="198"/>
      <c r="Q11" s="55"/>
      <c r="R11" s="55"/>
    </row>
    <row r="12" spans="2:18" ht="18.75" customHeight="1">
      <c r="B12" s="198"/>
      <c r="C12" s="198"/>
      <c r="D12" s="198"/>
      <c r="E12" s="198"/>
      <c r="F12" s="131">
        <f>5.95*1.6</f>
        <v>9.5200000000000014</v>
      </c>
      <c r="G12" s="131">
        <f>5.95*1.64</f>
        <v>9.7579999999999991</v>
      </c>
      <c r="H12" s="131">
        <f>6.73*1.47</f>
        <v>9.8931000000000004</v>
      </c>
      <c r="I12" s="131">
        <f>6.76*1.75</f>
        <v>11.83</v>
      </c>
      <c r="J12" s="131">
        <f>12.72*7.36</f>
        <v>93.619200000000006</v>
      </c>
      <c r="K12" s="131">
        <f>5.95*3.27</f>
        <v>19.456500000000002</v>
      </c>
      <c r="L12" s="131">
        <f>4.03*3.24</f>
        <v>13.057200000000002</v>
      </c>
      <c r="M12" s="131">
        <f>2.37*1.07</f>
        <v>2.5359000000000003</v>
      </c>
      <c r="N12" s="131"/>
      <c r="O12" s="131"/>
      <c r="P12" s="198"/>
      <c r="Q12" s="55"/>
      <c r="R12" s="55"/>
    </row>
    <row r="13" spans="2:18" ht="18.75" customHeight="1">
      <c r="B13" s="198" t="s">
        <v>161</v>
      </c>
      <c r="C13" s="198"/>
      <c r="D13" s="198"/>
      <c r="E13" s="198"/>
      <c r="F13" s="131">
        <f>4.3*2.3</f>
        <v>9.8899999999999988</v>
      </c>
      <c r="G13" s="131">
        <f>2.4*6.2</f>
        <v>14.879999999999999</v>
      </c>
      <c r="H13" s="131">
        <f>8.3*2.4</f>
        <v>19.920000000000002</v>
      </c>
      <c r="I13" s="131">
        <f>2.5*6.3</f>
        <v>15.75</v>
      </c>
      <c r="J13" s="131"/>
      <c r="K13" s="131"/>
      <c r="L13" s="131"/>
      <c r="M13" s="131"/>
      <c r="N13" s="131"/>
      <c r="O13" s="131"/>
      <c r="P13" s="131">
        <f>SUM(F13:O13)</f>
        <v>60.44</v>
      </c>
      <c r="Q13" s="55"/>
      <c r="R13" s="55"/>
    </row>
    <row r="14" spans="2:18" ht="18.75" customHeight="1">
      <c r="B14" s="198" t="s">
        <v>162</v>
      </c>
      <c r="C14" s="198"/>
      <c r="D14" s="198"/>
      <c r="E14" s="198"/>
      <c r="F14" s="131">
        <f>2.61*2.82</f>
        <v>7.360199999999999</v>
      </c>
      <c r="G14" s="131">
        <f>2.6*2.94</f>
        <v>7.6440000000000001</v>
      </c>
      <c r="H14" s="131">
        <f>3.81*5.17</f>
        <v>19.697700000000001</v>
      </c>
      <c r="I14" s="131">
        <f>3.95*2.94</f>
        <v>11.613</v>
      </c>
      <c r="J14" s="131">
        <f>1.55*1.2</f>
        <v>1.8599999999999999</v>
      </c>
      <c r="K14" s="131">
        <f>2.94*2.6</f>
        <v>7.6440000000000001</v>
      </c>
      <c r="L14" s="131">
        <f>2.6*2.8</f>
        <v>7.2799999999999994</v>
      </c>
      <c r="M14" s="131"/>
      <c r="N14" s="131"/>
      <c r="O14" s="131"/>
      <c r="P14" s="131">
        <f>SUM(F14:O14)</f>
        <v>63.0989</v>
      </c>
      <c r="Q14" s="55"/>
      <c r="R14" s="55"/>
    </row>
    <row r="15" spans="2:18" ht="18.75" customHeight="1">
      <c r="B15" s="198" t="s">
        <v>163</v>
      </c>
      <c r="C15" s="198"/>
      <c r="D15" s="198"/>
      <c r="E15" s="198"/>
      <c r="F15" s="131">
        <f>5.79*2.81</f>
        <v>16.2699</v>
      </c>
      <c r="G15" s="131">
        <f>5.79*2.83</f>
        <v>16.3857</v>
      </c>
      <c r="H15" s="131">
        <f>5.78*2.85</f>
        <v>16.473000000000003</v>
      </c>
      <c r="I15" s="131">
        <f>5.8*2.85</f>
        <v>16.53</v>
      </c>
      <c r="J15" s="131">
        <f>2.02*2.62</f>
        <v>5.2924000000000007</v>
      </c>
      <c r="K15" s="131">
        <f>2.01*2.73</f>
        <v>5.4872999999999994</v>
      </c>
      <c r="L15" s="131">
        <f>4.67*2.67</f>
        <v>12.4689</v>
      </c>
      <c r="M15" s="131">
        <f>4.75*2.66</f>
        <v>12.635000000000002</v>
      </c>
      <c r="N15" s="131"/>
      <c r="O15" s="131"/>
      <c r="P15" s="131">
        <f>SUM(F15:O15)</f>
        <v>101.54220000000002</v>
      </c>
      <c r="Q15" s="55"/>
      <c r="R15" s="55"/>
    </row>
    <row r="16" spans="2:18" ht="18.75" customHeight="1">
      <c r="B16" s="198" t="s">
        <v>164</v>
      </c>
      <c r="C16" s="198"/>
      <c r="D16" s="198"/>
      <c r="E16" s="198"/>
      <c r="F16" s="131">
        <f>5.95*3.69</f>
        <v>21.955500000000001</v>
      </c>
      <c r="G16" s="131">
        <f>6*3.67</f>
        <v>22.02</v>
      </c>
      <c r="H16" s="131">
        <f>6.01*3.66</f>
        <v>21.996600000000001</v>
      </c>
      <c r="I16" s="131">
        <f>6.01*3.69</f>
        <v>22.1769</v>
      </c>
      <c r="J16" s="131"/>
      <c r="K16" s="131"/>
      <c r="L16" s="131"/>
      <c r="M16" s="131"/>
      <c r="N16" s="131"/>
      <c r="O16" s="131"/>
      <c r="P16" s="131">
        <f>SUM(F16:O16)</f>
        <v>88.149000000000001</v>
      </c>
      <c r="Q16" s="55"/>
      <c r="R16" s="55"/>
    </row>
    <row r="17" spans="2:18" ht="18.75" customHeight="1">
      <c r="B17" s="198">
        <v>102</v>
      </c>
      <c r="C17" s="198"/>
      <c r="D17" s="198"/>
      <c r="E17" s="198"/>
      <c r="F17" s="131">
        <f>7.85*2.06</f>
        <v>16.170999999999999</v>
      </c>
      <c r="G17" s="131">
        <f>6.26*2.05</f>
        <v>12.832999999999998</v>
      </c>
      <c r="H17" s="131">
        <f>2.1*2.16</f>
        <v>4.5360000000000005</v>
      </c>
      <c r="I17" s="131">
        <f>2.1*2.17</f>
        <v>4.5570000000000004</v>
      </c>
      <c r="J17" s="131">
        <f>1.6*2.15</f>
        <v>3.44</v>
      </c>
      <c r="K17" s="131">
        <f>2.15*1.6</f>
        <v>3.44</v>
      </c>
      <c r="L17" s="131">
        <f>5.14*2.7</f>
        <v>13.878</v>
      </c>
      <c r="M17" s="131">
        <f>4.07*3.5</f>
        <v>14.245000000000001</v>
      </c>
      <c r="N17" s="131">
        <f>3.99*3.11</f>
        <v>12.408900000000001</v>
      </c>
      <c r="O17" s="131">
        <f>3.11*3.8</f>
        <v>11.818</v>
      </c>
      <c r="P17" s="202">
        <f>SUM(F17:O18)</f>
        <v>136.2723</v>
      </c>
      <c r="Q17" s="55"/>
      <c r="R17" s="55"/>
    </row>
    <row r="18" spans="2:18" ht="18.75" customHeight="1">
      <c r="B18" s="198"/>
      <c r="C18" s="198"/>
      <c r="D18" s="198"/>
      <c r="E18" s="198"/>
      <c r="F18" s="131">
        <f>3.99*3.46</f>
        <v>13.805400000000001</v>
      </c>
      <c r="G18" s="131">
        <f>3.78*3.5</f>
        <v>13.229999999999999</v>
      </c>
      <c r="H18" s="131">
        <f>3*1.99</f>
        <v>5.97</v>
      </c>
      <c r="I18" s="131">
        <f>1.98*3</f>
        <v>5.9399999999999995</v>
      </c>
      <c r="J18" s="131"/>
      <c r="K18" s="131"/>
      <c r="L18" s="131"/>
      <c r="M18" s="131"/>
      <c r="N18" s="131"/>
      <c r="O18" s="131"/>
      <c r="P18" s="198"/>
      <c r="Q18" s="55"/>
      <c r="R18" s="55"/>
    </row>
    <row r="19" spans="2:18" ht="18.75" customHeight="1">
      <c r="B19" s="198">
        <v>106</v>
      </c>
      <c r="C19" s="198"/>
      <c r="D19" s="198"/>
      <c r="E19" s="198"/>
      <c r="F19" s="131">
        <f>7.3*3.46</f>
        <v>25.257999999999999</v>
      </c>
      <c r="G19" s="131">
        <f>8.07*3.14</f>
        <v>25.3398</v>
      </c>
      <c r="H19" s="131">
        <f>3.02*2.15</f>
        <v>6.4929999999999994</v>
      </c>
      <c r="I19" s="131">
        <f>3.07*2.14</f>
        <v>6.5697999999999999</v>
      </c>
      <c r="J19" s="131">
        <f>2.04*6.21</f>
        <v>12.6684</v>
      </c>
      <c r="K19" s="131">
        <f>7.85*2.06</f>
        <v>16.170999999999999</v>
      </c>
      <c r="L19" s="131">
        <f>2.5*2.56</f>
        <v>6.4</v>
      </c>
      <c r="M19" s="131">
        <f>2.11*1.6</f>
        <v>3.3759999999999999</v>
      </c>
      <c r="N19" s="131">
        <f>2.2*1.78</f>
        <v>3.9160000000000004</v>
      </c>
      <c r="O19" s="131">
        <f>5.2*2.6</f>
        <v>13.520000000000001</v>
      </c>
      <c r="P19" s="202">
        <f>SUM(F19:O20)</f>
        <v>138.10700000000003</v>
      </c>
      <c r="Q19" s="55"/>
      <c r="R19" s="55"/>
    </row>
    <row r="20" spans="2:18" ht="18.75" customHeight="1">
      <c r="B20" s="198"/>
      <c r="C20" s="198"/>
      <c r="D20" s="198"/>
      <c r="E20" s="198"/>
      <c r="F20" s="131">
        <f>4.1*2.95</f>
        <v>12.094999999999999</v>
      </c>
      <c r="G20" s="131">
        <f>2.5*2.52</f>
        <v>6.3</v>
      </c>
      <c r="H20" s="131"/>
      <c r="I20" s="131"/>
      <c r="J20" s="131"/>
      <c r="K20" s="131"/>
      <c r="L20" s="131"/>
      <c r="M20" s="131"/>
      <c r="N20" s="131"/>
      <c r="O20" s="131"/>
      <c r="P20" s="198"/>
      <c r="Q20" s="55"/>
      <c r="R20" s="55"/>
    </row>
    <row r="21" spans="2:18" ht="18.75" customHeight="1">
      <c r="B21" s="198">
        <v>108</v>
      </c>
      <c r="C21" s="198"/>
      <c r="D21" s="198"/>
      <c r="E21" s="198"/>
      <c r="F21" s="131">
        <f>5.27*2.62</f>
        <v>13.807399999999999</v>
      </c>
      <c r="G21" s="131">
        <f>2.52*2.73</f>
        <v>6.8795999999999999</v>
      </c>
      <c r="H21" s="131">
        <f>2.73*2.5</f>
        <v>6.8250000000000002</v>
      </c>
      <c r="I21" s="131">
        <f>2.67*5.33</f>
        <v>14.2311</v>
      </c>
      <c r="J21" s="131">
        <f>2.05*6.23</f>
        <v>12.7715</v>
      </c>
      <c r="K21" s="131">
        <f>7.87*2.07</f>
        <v>16.290900000000001</v>
      </c>
      <c r="L21" s="131">
        <f>2.52*2.67</f>
        <v>6.7283999999999997</v>
      </c>
      <c r="M21" s="131">
        <f>2.12*1.59</f>
        <v>3.3708000000000005</v>
      </c>
      <c r="N21" s="131">
        <f>2.13*1.59</f>
        <v>3.3866999999999998</v>
      </c>
      <c r="O21" s="131">
        <f>5.19*2.7</f>
        <v>14.013000000000002</v>
      </c>
      <c r="P21" s="202">
        <f>SUM(F21:O22)</f>
        <v>117.0814</v>
      </c>
      <c r="Q21" s="55"/>
      <c r="R21" s="55"/>
    </row>
    <row r="22" spans="2:18" ht="18.75" customHeight="1">
      <c r="B22" s="198"/>
      <c r="C22" s="198"/>
      <c r="D22" s="198"/>
      <c r="E22" s="198"/>
      <c r="F22" s="131">
        <f>4.08*2.94</f>
        <v>11.995200000000001</v>
      </c>
      <c r="G22" s="131">
        <f>2.54*2.67</f>
        <v>6.7817999999999996</v>
      </c>
      <c r="H22" s="131"/>
      <c r="I22" s="131"/>
      <c r="J22" s="131"/>
      <c r="K22" s="131"/>
      <c r="L22" s="131"/>
      <c r="M22" s="131"/>
      <c r="N22" s="131"/>
      <c r="O22" s="131"/>
      <c r="P22" s="198"/>
      <c r="Q22" s="55"/>
      <c r="R22" s="55"/>
    </row>
    <row r="23" spans="2:18" ht="18.75" customHeight="1">
      <c r="B23" s="198">
        <v>110</v>
      </c>
      <c r="C23" s="198"/>
      <c r="D23" s="198"/>
      <c r="E23" s="198"/>
      <c r="F23" s="131">
        <f>3.13*8.06</f>
        <v>25.227800000000002</v>
      </c>
      <c r="G23" s="131">
        <f>3.47*7.25</f>
        <v>25.157500000000002</v>
      </c>
      <c r="H23" s="131">
        <f>2.16*2.98</f>
        <v>6.4368000000000007</v>
      </c>
      <c r="I23" s="131">
        <f>2.97*2.14</f>
        <v>6.3558000000000012</v>
      </c>
      <c r="J23" s="131">
        <f>2.04*6.22</f>
        <v>12.688800000000001</v>
      </c>
      <c r="K23" s="131">
        <f>7.86*2.08</f>
        <v>16.348800000000001</v>
      </c>
      <c r="L23" s="131">
        <f>2.52*2.66</f>
        <v>6.7032000000000007</v>
      </c>
      <c r="M23" s="131">
        <f>2.12*1.58</f>
        <v>3.3496000000000001</v>
      </c>
      <c r="N23" s="131">
        <f>2.16*1.8</f>
        <v>3.8880000000000003</v>
      </c>
      <c r="O23" s="131">
        <f>5.21*2.6</f>
        <v>13.546000000000001</v>
      </c>
      <c r="P23" s="202">
        <f>SUM(F23:O24)</f>
        <v>138.2269</v>
      </c>
      <c r="Q23" s="55"/>
      <c r="R23" s="55"/>
    </row>
    <row r="24" spans="2:18" ht="18.75" customHeight="1">
      <c r="B24" s="198"/>
      <c r="C24" s="198"/>
      <c r="D24" s="198"/>
      <c r="E24" s="198"/>
      <c r="F24" s="131">
        <f>4.09*2.94</f>
        <v>12.0246</v>
      </c>
      <c r="G24" s="131">
        <f>2.5*2.6</f>
        <v>6.5</v>
      </c>
      <c r="H24" s="131"/>
      <c r="I24" s="131"/>
      <c r="J24" s="131"/>
      <c r="K24" s="131"/>
      <c r="L24" s="131"/>
      <c r="M24" s="131"/>
      <c r="N24" s="131"/>
      <c r="O24" s="131"/>
      <c r="P24" s="198"/>
      <c r="Q24" s="55"/>
      <c r="R24" s="55"/>
    </row>
    <row r="25" spans="2:18" ht="18.75" customHeight="1">
      <c r="B25" s="198">
        <v>112</v>
      </c>
      <c r="C25" s="198"/>
      <c r="D25" s="198"/>
      <c r="E25" s="198"/>
      <c r="F25" s="131">
        <f>3.47*7.14</f>
        <v>24.7758</v>
      </c>
      <c r="G25" s="131">
        <f>8*3.11</f>
        <v>24.88</v>
      </c>
      <c r="H25" s="131">
        <f>1.96*3.02</f>
        <v>5.9192</v>
      </c>
      <c r="I25" s="131">
        <f>3.02*1.97</f>
        <v>5.9493999999999998</v>
      </c>
      <c r="J25" s="131">
        <f>2.22*2.06</f>
        <v>4.5732000000000008</v>
      </c>
      <c r="K25" s="131">
        <f>2.22*2.14</f>
        <v>4.7508000000000008</v>
      </c>
      <c r="L25" s="131">
        <f>7.74*2.07</f>
        <v>16.021799999999999</v>
      </c>
      <c r="M25" s="131">
        <f>6.2*2.07</f>
        <v>12.834</v>
      </c>
      <c r="N25" s="131">
        <f>2.1*1.59</f>
        <v>3.3390000000000004</v>
      </c>
      <c r="O25" s="131">
        <f>1.14*1.58</f>
        <v>1.8011999999999999</v>
      </c>
      <c r="P25" s="202">
        <f>SUM(F25:O26)</f>
        <v>130.58959999999999</v>
      </c>
      <c r="Q25" s="55"/>
      <c r="R25" s="55"/>
    </row>
    <row r="26" spans="2:18" ht="18.75" customHeight="1">
      <c r="B26" s="198"/>
      <c r="C26" s="198"/>
      <c r="D26" s="198"/>
      <c r="E26" s="198"/>
      <c r="F26" s="131">
        <f>5.12*2.72</f>
        <v>13.926400000000001</v>
      </c>
      <c r="G26" s="131">
        <f>4.02*2.94</f>
        <v>11.818799999999998</v>
      </c>
      <c r="H26" s="131"/>
      <c r="I26" s="131"/>
      <c r="J26" s="131"/>
      <c r="K26" s="131"/>
      <c r="L26" s="131"/>
      <c r="M26" s="131"/>
      <c r="N26" s="131"/>
      <c r="O26" s="131"/>
      <c r="P26" s="198"/>
      <c r="Q26" s="55"/>
      <c r="R26" s="55"/>
    </row>
    <row r="27" spans="2:18" ht="18.75" customHeight="1">
      <c r="B27" s="198">
        <v>114</v>
      </c>
      <c r="C27" s="198"/>
      <c r="D27" s="198"/>
      <c r="E27" s="198"/>
      <c r="F27" s="131">
        <f>5.52*2.71</f>
        <v>14.959199999999999</v>
      </c>
      <c r="G27" s="131">
        <f>2.71*3.45</f>
        <v>9.3495000000000008</v>
      </c>
      <c r="H27" s="131">
        <f>1.71*1.76</f>
        <v>3.0095999999999998</v>
      </c>
      <c r="I27" s="131">
        <f>1.77*1.73</f>
        <v>3.0621</v>
      </c>
      <c r="J27" s="131">
        <f>5.36*2.69</f>
        <v>14.4184</v>
      </c>
      <c r="K27" s="131">
        <f>2.7*3.47</f>
        <v>9.3690000000000015</v>
      </c>
      <c r="L27" s="131">
        <f>2*1.51</f>
        <v>3.02</v>
      </c>
      <c r="M27" s="131">
        <f>1.81*1.66</f>
        <v>3.0045999999999999</v>
      </c>
      <c r="N27" s="131">
        <f>4.68*3.48</f>
        <v>16.2864</v>
      </c>
      <c r="O27" s="131">
        <f>4.6*3.49</f>
        <v>16.053999999999998</v>
      </c>
      <c r="P27" s="202">
        <f>SUM(F27:O28)</f>
        <v>124.53020000000002</v>
      </c>
      <c r="Q27" s="55"/>
      <c r="R27" s="55"/>
    </row>
    <row r="28" spans="2:18" ht="18.75" customHeight="1">
      <c r="B28" s="198">
        <v>114</v>
      </c>
      <c r="C28" s="198"/>
      <c r="D28" s="198"/>
      <c r="E28" s="198"/>
      <c r="F28" s="131">
        <f>1.61*1.86</f>
        <v>2.9946000000000002</v>
      </c>
      <c r="G28" s="131">
        <f>1.61*1.86</f>
        <v>2.9946000000000002</v>
      </c>
      <c r="H28" s="131">
        <f>5.19*2.7</f>
        <v>14.013000000000002</v>
      </c>
      <c r="I28" s="131">
        <f>4.08*2.94</f>
        <v>11.995200000000001</v>
      </c>
      <c r="J28" s="131"/>
      <c r="K28" s="131"/>
      <c r="L28" s="131"/>
      <c r="M28" s="131"/>
      <c r="N28" s="131"/>
      <c r="O28" s="131"/>
      <c r="P28" s="198">
        <f t="shared" ref="P28:P47" si="0">SUM(F28:O28)</f>
        <v>31.997400000000003</v>
      </c>
      <c r="Q28" s="55"/>
      <c r="R28" s="55"/>
    </row>
    <row r="29" spans="2:18" ht="18.75" customHeight="1">
      <c r="B29" s="198" t="s">
        <v>165</v>
      </c>
      <c r="C29" s="198"/>
      <c r="D29" s="198"/>
      <c r="E29" s="198"/>
      <c r="F29" s="131">
        <f>3.65*4.4</f>
        <v>16.060000000000002</v>
      </c>
      <c r="G29" s="131">
        <f>4.52*3.36</f>
        <v>15.187199999999997</v>
      </c>
      <c r="H29" s="131">
        <f>2.4*4.47</f>
        <v>10.728</v>
      </c>
      <c r="I29" s="131">
        <f>2.4*4.46</f>
        <v>10.703999999999999</v>
      </c>
      <c r="J29" s="131"/>
      <c r="K29" s="131"/>
      <c r="L29" s="131"/>
      <c r="M29" s="131"/>
      <c r="N29" s="131"/>
      <c r="O29" s="131"/>
      <c r="P29" s="131">
        <f t="shared" si="0"/>
        <v>52.679200000000002</v>
      </c>
      <c r="Q29" s="55"/>
      <c r="R29" s="55"/>
    </row>
    <row r="30" spans="2:18" ht="18.75" customHeight="1">
      <c r="B30" s="198" t="s">
        <v>166</v>
      </c>
      <c r="C30" s="198"/>
      <c r="D30" s="198"/>
      <c r="E30" s="198"/>
      <c r="F30" s="131">
        <f>2.29*3.85</f>
        <v>8.8164999999999996</v>
      </c>
      <c r="G30" s="131">
        <f>5.83*2.29</f>
        <v>13.3507</v>
      </c>
      <c r="H30" s="131">
        <f>4.31*2.29</f>
        <v>9.8698999999999995</v>
      </c>
      <c r="I30" s="131">
        <f>4.3*2.27</f>
        <v>9.7609999999999992</v>
      </c>
      <c r="J30" s="131">
        <f>4.64*5.52</f>
        <v>25.612799999999996</v>
      </c>
      <c r="K30" s="131">
        <f>4.33*7.8</f>
        <v>33.774000000000001</v>
      </c>
      <c r="L30" s="131"/>
      <c r="M30" s="131"/>
      <c r="N30" s="131"/>
      <c r="O30" s="131"/>
      <c r="P30" s="131">
        <f t="shared" si="0"/>
        <v>101.1849</v>
      </c>
      <c r="Q30" s="55"/>
      <c r="R30" s="55"/>
    </row>
    <row r="31" spans="2:18" ht="18.75" customHeight="1">
      <c r="B31" s="198" t="s">
        <v>167</v>
      </c>
      <c r="C31" s="198"/>
      <c r="D31" s="198"/>
      <c r="E31" s="198"/>
      <c r="F31" s="131">
        <f>3.73*4.01</f>
        <v>14.957299999999998</v>
      </c>
      <c r="G31" s="131">
        <f>2.39*4.5</f>
        <v>10.755000000000001</v>
      </c>
      <c r="H31" s="131">
        <f>3.6*2.36</f>
        <v>8.4960000000000004</v>
      </c>
      <c r="I31" s="131">
        <f>3.73*2.39</f>
        <v>8.9146999999999998</v>
      </c>
      <c r="J31" s="131"/>
      <c r="K31" s="131"/>
      <c r="L31" s="131"/>
      <c r="M31" s="131"/>
      <c r="N31" s="131"/>
      <c r="O31" s="131"/>
      <c r="P31" s="131">
        <f t="shared" si="0"/>
        <v>43.123000000000005</v>
      </c>
      <c r="Q31" s="55"/>
      <c r="R31" s="55"/>
    </row>
    <row r="32" spans="2:18" ht="18.75" customHeight="1">
      <c r="B32" s="198" t="s">
        <v>168</v>
      </c>
      <c r="C32" s="198"/>
      <c r="D32" s="198"/>
      <c r="E32" s="198"/>
      <c r="F32" s="131">
        <f>5.1*4.9</f>
        <v>24.99</v>
      </c>
      <c r="G32" s="131">
        <f>6.77*4.15</f>
        <v>28.095500000000001</v>
      </c>
      <c r="H32" s="131">
        <f>1.88*2.98</f>
        <v>5.6023999999999994</v>
      </c>
      <c r="I32" s="131">
        <f>1.88*2.98</f>
        <v>5.6023999999999994</v>
      </c>
      <c r="J32" s="131"/>
      <c r="K32" s="131"/>
      <c r="L32" s="131"/>
      <c r="M32" s="131"/>
      <c r="N32" s="131"/>
      <c r="O32" s="131"/>
      <c r="P32" s="131">
        <f t="shared" si="0"/>
        <v>64.290300000000002</v>
      </c>
      <c r="Q32" s="55"/>
      <c r="R32" s="55"/>
    </row>
    <row r="33" spans="2:18" ht="18.75" customHeight="1">
      <c r="B33" s="198" t="s">
        <v>169</v>
      </c>
      <c r="C33" s="198"/>
      <c r="D33" s="198"/>
      <c r="E33" s="198"/>
      <c r="F33" s="131">
        <f>2.3*4.5</f>
        <v>10.35</v>
      </c>
      <c r="G33" s="131">
        <f>2.25*6</f>
        <v>13.5</v>
      </c>
      <c r="H33" s="131">
        <f>2.4*4.5</f>
        <v>10.799999999999999</v>
      </c>
      <c r="I33" s="131"/>
      <c r="J33" s="131"/>
      <c r="K33" s="131"/>
      <c r="L33" s="131"/>
      <c r="M33" s="131"/>
      <c r="N33" s="131"/>
      <c r="O33" s="131"/>
      <c r="P33" s="131">
        <f t="shared" si="0"/>
        <v>34.65</v>
      </c>
      <c r="Q33" s="55"/>
      <c r="R33" s="55"/>
    </row>
    <row r="34" spans="2:18" ht="18.75" customHeight="1">
      <c r="B34" s="198" t="s">
        <v>170</v>
      </c>
      <c r="C34" s="198"/>
      <c r="D34" s="198"/>
      <c r="E34" s="198"/>
      <c r="F34" s="131">
        <f>3*4.6</f>
        <v>13.799999999999999</v>
      </c>
      <c r="G34" s="131">
        <f>3*4.6</f>
        <v>13.799999999999999</v>
      </c>
      <c r="H34" s="131">
        <f>3*4.6</f>
        <v>13.799999999999999</v>
      </c>
      <c r="I34" s="131">
        <f>3*4.6</f>
        <v>13.799999999999999</v>
      </c>
      <c r="J34" s="131"/>
      <c r="K34" s="131"/>
      <c r="L34" s="131"/>
      <c r="M34" s="131"/>
      <c r="N34" s="131"/>
      <c r="O34" s="131"/>
      <c r="P34" s="131">
        <f t="shared" si="0"/>
        <v>55.199999999999996</v>
      </c>
      <c r="Q34" s="55"/>
      <c r="R34" s="55"/>
    </row>
    <row r="35" spans="2:18" ht="18.75" customHeight="1">
      <c r="B35" s="198" t="s">
        <v>171</v>
      </c>
      <c r="C35" s="198"/>
      <c r="D35" s="198"/>
      <c r="E35" s="198"/>
      <c r="F35" s="131">
        <f>2.3*4.58</f>
        <v>10.533999999999999</v>
      </c>
      <c r="G35" s="131">
        <f>2.3*5.75</f>
        <v>13.225</v>
      </c>
      <c r="H35" s="131">
        <f>2.38*4.58</f>
        <v>10.900399999999999</v>
      </c>
      <c r="I35" s="131">
        <f>2.4*4.58</f>
        <v>10.991999999999999</v>
      </c>
      <c r="J35" s="131"/>
      <c r="K35" s="131"/>
      <c r="L35" s="131"/>
      <c r="M35" s="131"/>
      <c r="N35" s="131"/>
      <c r="O35" s="131"/>
      <c r="P35" s="131">
        <f t="shared" si="0"/>
        <v>45.651399999999995</v>
      </c>
      <c r="Q35" s="55"/>
      <c r="R35" s="55"/>
    </row>
    <row r="36" spans="2:18" ht="18.75" customHeight="1">
      <c r="B36" s="198" t="s">
        <v>172</v>
      </c>
      <c r="C36" s="198"/>
      <c r="D36" s="198"/>
      <c r="E36" s="198"/>
      <c r="F36" s="131">
        <f>4.89*6</f>
        <v>29.339999999999996</v>
      </c>
      <c r="G36" s="131">
        <f>6*4.84</f>
        <v>29.04</v>
      </c>
      <c r="H36" s="131">
        <f>2.29*2.6</f>
        <v>5.9540000000000006</v>
      </c>
      <c r="I36" s="131"/>
      <c r="J36" s="131"/>
      <c r="K36" s="131"/>
      <c r="L36" s="131"/>
      <c r="M36" s="131"/>
      <c r="N36" s="131"/>
      <c r="O36" s="131"/>
      <c r="P36" s="131">
        <f t="shared" si="0"/>
        <v>64.334000000000003</v>
      </c>
      <c r="Q36" s="55"/>
      <c r="R36" s="55"/>
    </row>
    <row r="37" spans="2:18" ht="18.75" customHeight="1">
      <c r="B37" s="198" t="s">
        <v>173</v>
      </c>
      <c r="C37" s="198"/>
      <c r="D37" s="198"/>
      <c r="E37" s="198"/>
      <c r="F37" s="131">
        <f>6*3.68</f>
        <v>22.080000000000002</v>
      </c>
      <c r="G37" s="131">
        <f>5.96*3.78</f>
        <v>22.5288</v>
      </c>
      <c r="H37" s="131">
        <f>5.95*3.79</f>
        <v>22.5505</v>
      </c>
      <c r="I37" s="131">
        <f>5.96*3.75</f>
        <v>22.35</v>
      </c>
      <c r="J37" s="131"/>
      <c r="K37" s="131"/>
      <c r="L37" s="131"/>
      <c r="M37" s="131"/>
      <c r="N37" s="131"/>
      <c r="O37" s="131"/>
      <c r="P37" s="131">
        <f t="shared" si="0"/>
        <v>89.509299999999996</v>
      </c>
      <c r="Q37" s="55"/>
      <c r="R37" s="55"/>
    </row>
    <row r="38" spans="2:18" ht="18.75" customHeight="1">
      <c r="B38" s="198" t="s">
        <v>174</v>
      </c>
      <c r="C38" s="198"/>
      <c r="D38" s="198"/>
      <c r="E38" s="198"/>
      <c r="F38" s="131">
        <f>5.09*3.74</f>
        <v>19.0366</v>
      </c>
      <c r="G38" s="131">
        <f>2.16*2.55</f>
        <v>5.508</v>
      </c>
      <c r="H38" s="131">
        <f>5.01*3.76</f>
        <v>18.837599999999998</v>
      </c>
      <c r="I38" s="131"/>
      <c r="J38" s="131"/>
      <c r="K38" s="131"/>
      <c r="L38" s="131"/>
      <c r="M38" s="131"/>
      <c r="N38" s="131"/>
      <c r="O38" s="131"/>
      <c r="P38" s="131">
        <f t="shared" si="0"/>
        <v>43.382199999999997</v>
      </c>
      <c r="Q38" s="55"/>
      <c r="R38" s="55"/>
    </row>
    <row r="39" spans="2:18" ht="18.75" customHeight="1">
      <c r="B39" s="198" t="s">
        <v>175</v>
      </c>
      <c r="C39" s="198"/>
      <c r="D39" s="198"/>
      <c r="E39" s="198"/>
      <c r="F39" s="131">
        <f>3.7*2</f>
        <v>7.4</v>
      </c>
      <c r="G39" s="131">
        <f>4.5*3.73</f>
        <v>16.785</v>
      </c>
      <c r="H39" s="131">
        <f>3.16*3.68</f>
        <v>11.628800000000002</v>
      </c>
      <c r="I39" s="131">
        <f>1.46*2.06</f>
        <v>3.0076000000000001</v>
      </c>
      <c r="J39" s="131"/>
      <c r="K39" s="131"/>
      <c r="L39" s="131"/>
      <c r="M39" s="131"/>
      <c r="N39" s="131"/>
      <c r="O39" s="131"/>
      <c r="P39" s="131">
        <f t="shared" si="0"/>
        <v>38.821399999999997</v>
      </c>
      <c r="Q39" s="55"/>
      <c r="R39" s="55"/>
    </row>
    <row r="40" spans="2:18" ht="18.75" customHeight="1">
      <c r="B40" s="198" t="s">
        <v>176</v>
      </c>
      <c r="C40" s="198"/>
      <c r="D40" s="198"/>
      <c r="E40" s="198"/>
      <c r="F40" s="131">
        <f>2.33*1.75</f>
        <v>4.0775000000000006</v>
      </c>
      <c r="G40" s="131">
        <f>3.6*1.77</f>
        <v>6.3719999999999999</v>
      </c>
      <c r="H40" s="131">
        <f>4.5*3.75</f>
        <v>16.875</v>
      </c>
      <c r="I40" s="131">
        <f>4.5*3.75</f>
        <v>16.875</v>
      </c>
      <c r="J40" s="131"/>
      <c r="K40" s="131"/>
      <c r="L40" s="131"/>
      <c r="M40" s="131"/>
      <c r="N40" s="131"/>
      <c r="O40" s="131"/>
      <c r="P40" s="131">
        <f t="shared" si="0"/>
        <v>44.1995</v>
      </c>
      <c r="Q40" s="55"/>
      <c r="R40" s="55"/>
    </row>
    <row r="41" spans="2:18" ht="18.75" customHeight="1">
      <c r="B41" s="198" t="s">
        <v>177</v>
      </c>
      <c r="C41" s="198"/>
      <c r="D41" s="198"/>
      <c r="E41" s="198"/>
      <c r="F41" s="131">
        <f>7.93*3.44</f>
        <v>27.279199999999999</v>
      </c>
      <c r="G41" s="131">
        <f>8.15*3.66</f>
        <v>29.829000000000004</v>
      </c>
      <c r="H41" s="131">
        <f>3.42*2.87</f>
        <v>9.8154000000000003</v>
      </c>
      <c r="I41" s="131">
        <f>3.07*3.5</f>
        <v>10.744999999999999</v>
      </c>
      <c r="J41" s="131">
        <f>3.06*3.57</f>
        <v>10.924199999999999</v>
      </c>
      <c r="K41" s="131"/>
      <c r="L41" s="131"/>
      <c r="M41" s="131"/>
      <c r="N41" s="131"/>
      <c r="O41" s="131"/>
      <c r="P41" s="131">
        <f t="shared" si="0"/>
        <v>88.592800000000011</v>
      </c>
      <c r="Q41" s="55"/>
      <c r="R41" s="55"/>
    </row>
    <row r="42" spans="2:18" ht="18.75" customHeight="1">
      <c r="B42" s="198" t="s">
        <v>178</v>
      </c>
      <c r="C42" s="198"/>
      <c r="D42" s="198"/>
      <c r="E42" s="198"/>
      <c r="F42" s="131">
        <f>2.22*1.76</f>
        <v>3.9072000000000005</v>
      </c>
      <c r="G42" s="131">
        <f>3.5*1.76</f>
        <v>6.16</v>
      </c>
      <c r="H42" s="131">
        <f>4.48*3.73</f>
        <v>16.7104</v>
      </c>
      <c r="I42" s="131">
        <f>4.52+3.74</f>
        <v>8.26</v>
      </c>
      <c r="J42" s="131"/>
      <c r="K42" s="131"/>
      <c r="L42" s="131"/>
      <c r="M42" s="131"/>
      <c r="N42" s="131"/>
      <c r="O42" s="131"/>
      <c r="P42" s="131">
        <f t="shared" si="0"/>
        <v>35.037599999999998</v>
      </c>
      <c r="Q42" s="55"/>
      <c r="R42" s="55"/>
    </row>
    <row r="43" spans="2:18" ht="18.75" customHeight="1">
      <c r="B43" s="198" t="s">
        <v>179</v>
      </c>
      <c r="C43" s="198"/>
      <c r="D43" s="198"/>
      <c r="E43" s="198"/>
      <c r="F43" s="131">
        <f>5.48*3.42</f>
        <v>18.741600000000002</v>
      </c>
      <c r="G43" s="131">
        <f>2.56*1.07</f>
        <v>2.7392000000000003</v>
      </c>
      <c r="H43" s="131">
        <f>2.36*2.4</f>
        <v>5.6639999999999997</v>
      </c>
      <c r="I43" s="131">
        <f>2.29*2.4</f>
        <v>5.4959999999999996</v>
      </c>
      <c r="J43" s="131">
        <f>3.64*7.22</f>
        <v>26.280799999999999</v>
      </c>
      <c r="K43" s="131">
        <f>4.22*2.53</f>
        <v>10.676599999999999</v>
      </c>
      <c r="L43" s="131">
        <f>4.23*2.58</f>
        <v>10.913400000000001</v>
      </c>
      <c r="M43" s="131">
        <f>4.23*2.51</f>
        <v>10.6173</v>
      </c>
      <c r="N43" s="131">
        <f>4.27*2.49</f>
        <v>10.632299999999999</v>
      </c>
      <c r="O43" s="131"/>
      <c r="P43" s="131">
        <f t="shared" si="0"/>
        <v>101.7612</v>
      </c>
      <c r="Q43" s="55"/>
      <c r="R43" s="55"/>
    </row>
    <row r="44" spans="2:18" ht="18.75" customHeight="1">
      <c r="B44" s="198" t="s">
        <v>180</v>
      </c>
      <c r="C44" s="198"/>
      <c r="D44" s="198"/>
      <c r="E44" s="198"/>
      <c r="F44" s="131">
        <f>3.1*4.3</f>
        <v>13.33</v>
      </c>
      <c r="G44" s="131">
        <f>5.63*3.08</f>
        <v>17.340399999999999</v>
      </c>
      <c r="H44" s="131">
        <f>2.24*4.29</f>
        <v>9.6096000000000004</v>
      </c>
      <c r="I44" s="131">
        <f>2.23*5.63</f>
        <v>12.5549</v>
      </c>
      <c r="J44" s="131"/>
      <c r="K44" s="131"/>
      <c r="L44" s="131"/>
      <c r="M44" s="131"/>
      <c r="N44" s="131"/>
      <c r="O44" s="131"/>
      <c r="P44" s="131">
        <f t="shared" si="0"/>
        <v>52.834900000000005</v>
      </c>
      <c r="Q44" s="55"/>
      <c r="R44" s="55"/>
    </row>
    <row r="45" spans="2:18" ht="18.75" customHeight="1">
      <c r="B45" s="198" t="s">
        <v>181</v>
      </c>
      <c r="C45" s="198"/>
      <c r="D45" s="198"/>
      <c r="E45" s="198"/>
      <c r="F45" s="131">
        <f>2.2*5.62</f>
        <v>12.364000000000001</v>
      </c>
      <c r="G45" s="131">
        <f>2.2*4.24</f>
        <v>9.3280000000000012</v>
      </c>
      <c r="H45" s="131">
        <f>4.26*2.99</f>
        <v>12.737400000000001</v>
      </c>
      <c r="I45" s="131">
        <f>2.2*4.2</f>
        <v>9.240000000000002</v>
      </c>
      <c r="J45" s="131"/>
      <c r="K45" s="131"/>
      <c r="L45" s="131"/>
      <c r="M45" s="131"/>
      <c r="N45" s="131"/>
      <c r="O45" s="131"/>
      <c r="P45" s="131">
        <f t="shared" si="0"/>
        <v>43.669400000000003</v>
      </c>
      <c r="Q45" s="55"/>
      <c r="R45" s="55"/>
    </row>
    <row r="46" spans="2:18" ht="18.75" customHeight="1">
      <c r="B46" s="198" t="s">
        <v>182</v>
      </c>
      <c r="C46" s="198"/>
      <c r="D46" s="198"/>
      <c r="E46" s="198"/>
      <c r="F46" s="131">
        <f>4.49*2.28</f>
        <v>10.2372</v>
      </c>
      <c r="G46" s="131">
        <f>3.65*3.99</f>
        <v>14.563500000000001</v>
      </c>
      <c r="H46" s="131">
        <f>2.38*3.65</f>
        <v>8.6869999999999994</v>
      </c>
      <c r="I46" s="131">
        <f>2.29*3.59</f>
        <v>8.2210999999999999</v>
      </c>
      <c r="J46" s="131"/>
      <c r="K46" s="131"/>
      <c r="L46" s="131"/>
      <c r="M46" s="131"/>
      <c r="N46" s="131"/>
      <c r="O46" s="131"/>
      <c r="P46" s="131">
        <f t="shared" si="0"/>
        <v>41.708799999999997</v>
      </c>
      <c r="Q46" s="55"/>
      <c r="R46" s="55"/>
    </row>
    <row r="47" spans="2:18" ht="18.75" customHeight="1">
      <c r="B47" s="198" t="s">
        <v>183</v>
      </c>
      <c r="C47" s="198"/>
      <c r="D47" s="198"/>
      <c r="E47" s="198"/>
      <c r="F47" s="131">
        <f>3.63*3.89</f>
        <v>14.120699999999999</v>
      </c>
      <c r="G47" s="131">
        <f>5.83*2.42</f>
        <v>14.108599999999999</v>
      </c>
      <c r="H47" s="131">
        <f>2.51*1.81</f>
        <v>4.5430999999999999</v>
      </c>
      <c r="I47" s="131">
        <f>4.32*2.58</f>
        <v>11.145600000000002</v>
      </c>
      <c r="J47" s="131">
        <f>2.5*4.32</f>
        <v>10.8</v>
      </c>
      <c r="K47" s="131">
        <f>2.53*4.28</f>
        <v>10.8284</v>
      </c>
      <c r="L47" s="131">
        <f>2.53*4.28</f>
        <v>10.8284</v>
      </c>
      <c r="M47" s="131"/>
      <c r="N47" s="131"/>
      <c r="O47" s="131"/>
      <c r="P47" s="131">
        <f t="shared" si="0"/>
        <v>76.374800000000008</v>
      </c>
      <c r="Q47" s="55"/>
      <c r="R47" s="55"/>
    </row>
    <row r="48" spans="2:18" ht="18.75" customHeight="1">
      <c r="B48" s="203" t="s">
        <v>46</v>
      </c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5"/>
      <c r="P48" s="132">
        <f>SUM(P8:P47)</f>
        <v>2846.7981</v>
      </c>
      <c r="Q48" s="55"/>
      <c r="R48" s="55"/>
    </row>
    <row r="49" spans="2:18">
      <c r="B49" s="206"/>
      <c r="C49" s="206"/>
      <c r="D49" s="206"/>
      <c r="E49" s="206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</row>
    <row r="50" spans="2:18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</row>
  </sheetData>
  <mergeCells count="44">
    <mergeCell ref="B47:E47"/>
    <mergeCell ref="B8:E12"/>
    <mergeCell ref="B19:E20"/>
    <mergeCell ref="B40:E40"/>
    <mergeCell ref="B29:E29"/>
    <mergeCell ref="B33:E33"/>
    <mergeCell ref="B34:E34"/>
    <mergeCell ref="B32:E32"/>
    <mergeCell ref="B48:O48"/>
    <mergeCell ref="B49:E49"/>
    <mergeCell ref="B6:E7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27:E28"/>
    <mergeCell ref="B17:E18"/>
    <mergeCell ref="P17:P18"/>
    <mergeCell ref="P27:P28"/>
    <mergeCell ref="B30:E30"/>
    <mergeCell ref="B31:E31"/>
    <mergeCell ref="B25:E26"/>
    <mergeCell ref="P25:P26"/>
    <mergeCell ref="P19:P20"/>
    <mergeCell ref="B21:E22"/>
    <mergeCell ref="P21:P22"/>
    <mergeCell ref="B23:E24"/>
    <mergeCell ref="P23:P24"/>
    <mergeCell ref="P6:P7"/>
    <mergeCell ref="B16:E16"/>
    <mergeCell ref="B4:P4"/>
    <mergeCell ref="B5:P5"/>
    <mergeCell ref="F6:O6"/>
    <mergeCell ref="P8:P12"/>
    <mergeCell ref="B13:E13"/>
    <mergeCell ref="B14:E14"/>
    <mergeCell ref="B15:E15"/>
  </mergeCells>
  <pageMargins left="1.1023622047244095" right="0.51181102362204722" top="1.21" bottom="0.78740157480314965" header="0.31496062992125984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Q187"/>
  <sheetViews>
    <sheetView zoomScale="85" zoomScaleNormal="85" workbookViewId="0">
      <pane ySplit="8" topLeftCell="A57" activePane="bottomLeft" state="frozen"/>
      <selection pane="bottomLeft" activeCell="M75" sqref="M75"/>
    </sheetView>
  </sheetViews>
  <sheetFormatPr defaultRowHeight="15"/>
  <cols>
    <col min="1" max="1" width="9.140625" style="1"/>
    <col min="3" max="3" width="45.5703125" customWidth="1"/>
    <col min="4" max="4" width="18.28515625" customWidth="1"/>
    <col min="5" max="5" width="18.28515625" style="1" customWidth="1"/>
    <col min="6" max="6" width="18.28515625" customWidth="1"/>
    <col min="7" max="8" width="18.28515625" style="1" customWidth="1"/>
    <col min="9" max="9" width="18.28515625" customWidth="1"/>
    <col min="10" max="13" width="18.28515625" style="1" customWidth="1"/>
    <col min="14" max="14" width="15" customWidth="1"/>
    <col min="15" max="15" width="15.5703125" bestFit="1" customWidth="1"/>
  </cols>
  <sheetData>
    <row r="3" spans="2:17">
      <c r="C3" s="225" t="s">
        <v>91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</row>
    <row r="4" spans="2:17" ht="9.75" customHeight="1"/>
    <row r="5" spans="2:17" s="1" customFormat="1" ht="21" customHeight="1">
      <c r="C5" s="225" t="s">
        <v>48</v>
      </c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</row>
    <row r="6" spans="2:17" s="1" customFormat="1" ht="21" customHeight="1"/>
    <row r="7" spans="2:17" ht="30" customHeight="1">
      <c r="B7" s="228" t="s">
        <v>4</v>
      </c>
      <c r="C7" s="174" t="s">
        <v>0</v>
      </c>
      <c r="D7" s="175" t="s">
        <v>44</v>
      </c>
      <c r="E7" s="175"/>
      <c r="F7" s="175" t="s">
        <v>43</v>
      </c>
      <c r="G7" s="175"/>
      <c r="H7" s="175" t="s">
        <v>45</v>
      </c>
      <c r="I7" s="175"/>
      <c r="J7" s="145" t="s">
        <v>63</v>
      </c>
      <c r="K7" s="146"/>
      <c r="L7" s="145" t="s">
        <v>109</v>
      </c>
      <c r="M7" s="146"/>
      <c r="N7" s="221" t="s">
        <v>46</v>
      </c>
      <c r="O7" s="222"/>
    </row>
    <row r="8" spans="2:17" ht="21" customHeight="1">
      <c r="B8" s="229"/>
      <c r="C8" s="174"/>
      <c r="D8" s="145" t="s">
        <v>32</v>
      </c>
      <c r="E8" s="146"/>
      <c r="F8" s="145" t="s">
        <v>32</v>
      </c>
      <c r="G8" s="146"/>
      <c r="H8" s="145" t="s">
        <v>32</v>
      </c>
      <c r="I8" s="146"/>
      <c r="J8" s="145" t="s">
        <v>32</v>
      </c>
      <c r="K8" s="146"/>
      <c r="L8" s="145" t="s">
        <v>32</v>
      </c>
      <c r="M8" s="146"/>
      <c r="N8" s="223"/>
      <c r="O8" s="224"/>
    </row>
    <row r="9" spans="2:17" ht="18" customHeight="1">
      <c r="B9" s="39">
        <v>1</v>
      </c>
      <c r="C9" s="27" t="s">
        <v>2</v>
      </c>
      <c r="D9" s="142" t="e">
        <f>'Produtividade Estações'!G11</f>
        <v>#VALUE!</v>
      </c>
      <c r="E9" s="144"/>
      <c r="F9" s="142" t="e">
        <f>'Produtividade Estações'!G55</f>
        <v>#VALUE!</v>
      </c>
      <c r="G9" s="144"/>
      <c r="H9" s="213" t="e">
        <f>'Produtividade Estações'!G99</f>
        <v>#VALUE!</v>
      </c>
      <c r="I9" s="214"/>
      <c r="J9" s="213" t="e">
        <f>'Produtividade Estações'!G134</f>
        <v>#VALUE!</v>
      </c>
      <c r="K9" s="214"/>
      <c r="L9" s="142" t="e">
        <f>'Produtividade Estações'!H168</f>
        <v>#VALUE!</v>
      </c>
      <c r="M9" s="144"/>
      <c r="N9" s="213" t="e">
        <f>D9+F9+H9+J9+L9</f>
        <v>#VALUE!</v>
      </c>
      <c r="O9" s="214"/>
    </row>
    <row r="10" spans="2:17" ht="18" customHeight="1">
      <c r="B10" s="39">
        <v>2</v>
      </c>
      <c r="C10" s="27" t="s">
        <v>5</v>
      </c>
      <c r="D10" s="142" t="e">
        <f>'Produtividade Estações'!G12</f>
        <v>#VALUE!</v>
      </c>
      <c r="E10" s="144"/>
      <c r="F10" s="142" t="e">
        <f>'Produtividade Estações'!G56</f>
        <v>#VALUE!</v>
      </c>
      <c r="G10" s="144"/>
      <c r="H10" s="213" t="e">
        <f>'Produtividade Estações'!G100</f>
        <v>#VALUE!</v>
      </c>
      <c r="I10" s="214"/>
      <c r="J10" s="213" t="e">
        <f>'Produtividade Estações'!G135</f>
        <v>#VALUE!</v>
      </c>
      <c r="K10" s="214"/>
      <c r="L10" s="142" t="e">
        <f>'Produtividade Estações'!H169</f>
        <v>#VALUE!</v>
      </c>
      <c r="M10" s="144"/>
      <c r="N10" s="213" t="e">
        <f t="shared" ref="N10:N35" si="0">D10+F10+H10+J10+L10</f>
        <v>#VALUE!</v>
      </c>
      <c r="O10" s="214"/>
    </row>
    <row r="11" spans="2:17" ht="18" customHeight="1">
      <c r="B11" s="39">
        <v>3</v>
      </c>
      <c r="C11" s="27" t="s">
        <v>86</v>
      </c>
      <c r="D11" s="142" t="e">
        <f>'Produtividade Estações'!G13</f>
        <v>#VALUE!</v>
      </c>
      <c r="E11" s="144"/>
      <c r="F11" s="142" t="e">
        <f>'Produtividade Estações'!G57</f>
        <v>#VALUE!</v>
      </c>
      <c r="G11" s="144"/>
      <c r="H11" s="213" t="e">
        <f>'Produtividade Estações'!G101</f>
        <v>#VALUE!</v>
      </c>
      <c r="I11" s="214"/>
      <c r="J11" s="213" t="e">
        <f>'Produtividade Estações'!G136</f>
        <v>#VALUE!</v>
      </c>
      <c r="K11" s="214"/>
      <c r="L11" s="142" t="e">
        <f>'Produtividade Estações'!H170</f>
        <v>#VALUE!</v>
      </c>
      <c r="M11" s="144"/>
      <c r="N11" s="213" t="e">
        <f t="shared" si="0"/>
        <v>#VALUE!</v>
      </c>
      <c r="O11" s="214"/>
      <c r="Q11" s="8"/>
    </row>
    <row r="12" spans="2:17" s="1" customFormat="1" ht="18" customHeight="1">
      <c r="B12" s="39">
        <v>4</v>
      </c>
      <c r="C12" s="27" t="s">
        <v>92</v>
      </c>
      <c r="D12" s="142" t="e">
        <f>'Produtividade Estações'!G14</f>
        <v>#VALUE!</v>
      </c>
      <c r="E12" s="144"/>
      <c r="F12" s="142" t="e">
        <f>'Produtividade Estações'!G58</f>
        <v>#VALUE!</v>
      </c>
      <c r="G12" s="144"/>
      <c r="H12" s="213" t="e">
        <f>'Produtividade Estações'!G102</f>
        <v>#VALUE!</v>
      </c>
      <c r="I12" s="214"/>
      <c r="J12" s="213" t="e">
        <f>'Produtividade Estações'!G137</f>
        <v>#VALUE!</v>
      </c>
      <c r="K12" s="214"/>
      <c r="L12" s="142" t="e">
        <f>'Produtividade Estações'!H171</f>
        <v>#VALUE!</v>
      </c>
      <c r="M12" s="144"/>
      <c r="N12" s="213" t="e">
        <f t="shared" si="0"/>
        <v>#VALUE!</v>
      </c>
      <c r="O12" s="214"/>
      <c r="Q12" s="8"/>
    </row>
    <row r="13" spans="2:17" ht="18" customHeight="1">
      <c r="B13" s="39">
        <v>5</v>
      </c>
      <c r="C13" s="27" t="s">
        <v>78</v>
      </c>
      <c r="D13" s="142" t="e">
        <f>'Produtividade Estações'!G15</f>
        <v>#VALUE!</v>
      </c>
      <c r="E13" s="144"/>
      <c r="F13" s="142" t="e">
        <f>'Produtividade Estações'!G59</f>
        <v>#VALUE!</v>
      </c>
      <c r="G13" s="144"/>
      <c r="H13" s="213" t="e">
        <f>'Produtividade Estações'!G103</f>
        <v>#VALUE!</v>
      </c>
      <c r="I13" s="214"/>
      <c r="J13" s="213" t="e">
        <f>'Produtividade Estações'!G138</f>
        <v>#VALUE!</v>
      </c>
      <c r="K13" s="214"/>
      <c r="L13" s="142" t="e">
        <f>'Produtividade Estações'!H172</f>
        <v>#VALUE!</v>
      </c>
      <c r="M13" s="144"/>
      <c r="N13" s="213" t="e">
        <f t="shared" si="0"/>
        <v>#VALUE!</v>
      </c>
      <c r="O13" s="214"/>
    </row>
    <row r="14" spans="2:17" s="1" customFormat="1" ht="18" customHeight="1">
      <c r="B14" s="39">
        <v>6</v>
      </c>
      <c r="C14" s="27" t="s">
        <v>88</v>
      </c>
      <c r="D14" s="142" t="e">
        <f>'Produtividade Estações'!G16</f>
        <v>#VALUE!</v>
      </c>
      <c r="E14" s="144"/>
      <c r="F14" s="142" t="e">
        <f>'Produtividade Estações'!G60</f>
        <v>#VALUE!</v>
      </c>
      <c r="G14" s="144"/>
      <c r="H14" s="213" t="e">
        <f>'Produtividade Estações'!G104</f>
        <v>#VALUE!</v>
      </c>
      <c r="I14" s="214"/>
      <c r="J14" s="213" t="e">
        <f>'Produtividade Estações'!G139</f>
        <v>#VALUE!</v>
      </c>
      <c r="K14" s="214"/>
      <c r="L14" s="142" t="e">
        <f>'Produtividade Estações'!H173</f>
        <v>#VALUE!</v>
      </c>
      <c r="M14" s="144"/>
      <c r="N14" s="213" t="e">
        <f t="shared" si="0"/>
        <v>#VALUE!</v>
      </c>
      <c r="O14" s="214"/>
    </row>
    <row r="15" spans="2:17" ht="18" customHeight="1">
      <c r="B15" s="39">
        <v>7</v>
      </c>
      <c r="C15" s="27" t="s">
        <v>6</v>
      </c>
      <c r="D15" s="142" t="e">
        <f>'Produtividade Estações'!G17</f>
        <v>#VALUE!</v>
      </c>
      <c r="E15" s="144"/>
      <c r="F15" s="142" t="e">
        <f>'Produtividade Estações'!G61</f>
        <v>#VALUE!</v>
      </c>
      <c r="G15" s="144"/>
      <c r="H15" s="213" t="e">
        <f>'Produtividade Estações'!G105</f>
        <v>#VALUE!</v>
      </c>
      <c r="I15" s="214"/>
      <c r="J15" s="213" t="e">
        <f>'Produtividade Estações'!G140</f>
        <v>#VALUE!</v>
      </c>
      <c r="K15" s="214"/>
      <c r="L15" s="142" t="e">
        <f>'Produtividade Estações'!H174</f>
        <v>#VALUE!</v>
      </c>
      <c r="M15" s="144"/>
      <c r="N15" s="213" t="e">
        <f t="shared" si="0"/>
        <v>#VALUE!</v>
      </c>
      <c r="O15" s="214"/>
    </row>
    <row r="16" spans="2:17" ht="18" customHeight="1">
      <c r="B16" s="39">
        <v>8</v>
      </c>
      <c r="C16" s="27" t="s">
        <v>7</v>
      </c>
      <c r="D16" s="142" t="e">
        <f>'Produtividade Estações'!G18</f>
        <v>#VALUE!</v>
      </c>
      <c r="E16" s="144"/>
      <c r="F16" s="142" t="e">
        <f>'Produtividade Estações'!G62</f>
        <v>#VALUE!</v>
      </c>
      <c r="G16" s="144"/>
      <c r="H16" s="213" t="e">
        <f>'Produtividade Estações'!G106</f>
        <v>#VALUE!</v>
      </c>
      <c r="I16" s="214"/>
      <c r="J16" s="213" t="e">
        <f>'Produtividade Estações'!G141</f>
        <v>#VALUE!</v>
      </c>
      <c r="K16" s="214"/>
      <c r="L16" s="142" t="e">
        <f>'Produtividade Estações'!H175</f>
        <v>#VALUE!</v>
      </c>
      <c r="M16" s="144"/>
      <c r="N16" s="213" t="e">
        <f t="shared" si="0"/>
        <v>#VALUE!</v>
      </c>
      <c r="O16" s="214"/>
    </row>
    <row r="17" spans="2:15" ht="18" customHeight="1">
      <c r="B17" s="39">
        <v>9</v>
      </c>
      <c r="C17" s="27" t="s">
        <v>8</v>
      </c>
      <c r="D17" s="142" t="e">
        <f>'Produtividade Estações'!G19</f>
        <v>#VALUE!</v>
      </c>
      <c r="E17" s="144"/>
      <c r="F17" s="142" t="e">
        <f>'Produtividade Estações'!G63</f>
        <v>#VALUE!</v>
      </c>
      <c r="G17" s="144"/>
      <c r="H17" s="213" t="e">
        <f>'Produtividade Estações'!G107</f>
        <v>#VALUE!</v>
      </c>
      <c r="I17" s="214"/>
      <c r="J17" s="213" t="e">
        <f>'Produtividade Estações'!G142</f>
        <v>#VALUE!</v>
      </c>
      <c r="K17" s="214"/>
      <c r="L17" s="142" t="e">
        <f>'Produtividade Estações'!H176</f>
        <v>#VALUE!</v>
      </c>
      <c r="M17" s="144"/>
      <c r="N17" s="213" t="e">
        <f t="shared" si="0"/>
        <v>#VALUE!</v>
      </c>
      <c r="O17" s="214"/>
    </row>
    <row r="18" spans="2:15" ht="18" customHeight="1">
      <c r="B18" s="39">
        <v>10</v>
      </c>
      <c r="C18" s="27" t="s">
        <v>27</v>
      </c>
      <c r="D18" s="142" t="e">
        <f>'Produtividade Estações'!G20</f>
        <v>#VALUE!</v>
      </c>
      <c r="E18" s="144"/>
      <c r="F18" s="142" t="e">
        <f>'Produtividade Estações'!G64</f>
        <v>#VALUE!</v>
      </c>
      <c r="G18" s="144"/>
      <c r="H18" s="213" t="e">
        <f>'Produtividade Estações'!G108</f>
        <v>#VALUE!</v>
      </c>
      <c r="I18" s="214"/>
      <c r="J18" s="213" t="e">
        <f>'Produtividade Estações'!G143</f>
        <v>#VALUE!</v>
      </c>
      <c r="K18" s="214"/>
      <c r="L18" s="142" t="e">
        <f>'Produtividade Estações'!H177</f>
        <v>#VALUE!</v>
      </c>
      <c r="M18" s="144"/>
      <c r="N18" s="213" t="e">
        <f t="shared" si="0"/>
        <v>#VALUE!</v>
      </c>
      <c r="O18" s="214"/>
    </row>
    <row r="19" spans="2:15" ht="18" customHeight="1">
      <c r="B19" s="39">
        <v>11</v>
      </c>
      <c r="C19" s="27" t="s">
        <v>10</v>
      </c>
      <c r="D19" s="142" t="e">
        <f>'Produtividade Estações'!G21</f>
        <v>#VALUE!</v>
      </c>
      <c r="E19" s="144"/>
      <c r="F19" s="142" t="e">
        <f>'Produtividade Estações'!G65</f>
        <v>#VALUE!</v>
      </c>
      <c r="G19" s="144"/>
      <c r="H19" s="213" t="e">
        <f>'Produtividade Estações'!G109</f>
        <v>#VALUE!</v>
      </c>
      <c r="I19" s="214"/>
      <c r="J19" s="213" t="e">
        <f>'Produtividade Estações'!G144</f>
        <v>#VALUE!</v>
      </c>
      <c r="K19" s="214"/>
      <c r="L19" s="142" t="e">
        <f>'Produtividade Estações'!H178</f>
        <v>#VALUE!</v>
      </c>
      <c r="M19" s="144"/>
      <c r="N19" s="213" t="e">
        <f t="shared" si="0"/>
        <v>#VALUE!</v>
      </c>
      <c r="O19" s="214"/>
    </row>
    <row r="20" spans="2:15" ht="18" customHeight="1">
      <c r="B20" s="39">
        <v>12</v>
      </c>
      <c r="C20" s="27" t="s">
        <v>11</v>
      </c>
      <c r="D20" s="142" t="e">
        <f>'Produtividade Estações'!G22</f>
        <v>#VALUE!</v>
      </c>
      <c r="E20" s="144"/>
      <c r="F20" s="142" t="e">
        <f>'Produtividade Estações'!G66</f>
        <v>#VALUE!</v>
      </c>
      <c r="G20" s="144"/>
      <c r="H20" s="213" t="e">
        <f>'Produtividade Estações'!G110</f>
        <v>#VALUE!</v>
      </c>
      <c r="I20" s="214"/>
      <c r="J20" s="213" t="e">
        <f>'Produtividade Estações'!G145</f>
        <v>#VALUE!</v>
      </c>
      <c r="K20" s="214"/>
      <c r="L20" s="142" t="e">
        <f>'Produtividade Estações'!H179</f>
        <v>#VALUE!</v>
      </c>
      <c r="M20" s="144"/>
      <c r="N20" s="213" t="e">
        <f t="shared" si="0"/>
        <v>#VALUE!</v>
      </c>
      <c r="O20" s="214"/>
    </row>
    <row r="21" spans="2:15" ht="18" customHeight="1">
      <c r="B21" s="39">
        <v>13</v>
      </c>
      <c r="C21" s="27" t="s">
        <v>12</v>
      </c>
      <c r="D21" s="142" t="e">
        <f>'Produtividade Estações'!G23</f>
        <v>#VALUE!</v>
      </c>
      <c r="E21" s="144"/>
      <c r="F21" s="142" t="e">
        <f>'Produtividade Estações'!G67</f>
        <v>#VALUE!</v>
      </c>
      <c r="G21" s="144"/>
      <c r="H21" s="213" t="e">
        <f>'Produtividade Estações'!G111</f>
        <v>#VALUE!</v>
      </c>
      <c r="I21" s="214"/>
      <c r="J21" s="213" t="e">
        <f>'Produtividade Estações'!G146</f>
        <v>#VALUE!</v>
      </c>
      <c r="K21" s="214"/>
      <c r="L21" s="142" t="e">
        <f>'Produtividade Estações'!H180</f>
        <v>#VALUE!</v>
      </c>
      <c r="M21" s="144"/>
      <c r="N21" s="213" t="e">
        <f t="shared" si="0"/>
        <v>#VALUE!</v>
      </c>
      <c r="O21" s="214"/>
    </row>
    <row r="22" spans="2:15" ht="18" customHeight="1">
      <c r="B22" s="39">
        <v>14</v>
      </c>
      <c r="C22" s="27" t="s">
        <v>13</v>
      </c>
      <c r="D22" s="142" t="e">
        <f>'Produtividade Estações'!G24</f>
        <v>#VALUE!</v>
      </c>
      <c r="E22" s="144"/>
      <c r="F22" s="142" t="e">
        <f>'Produtividade Estações'!G68</f>
        <v>#VALUE!</v>
      </c>
      <c r="G22" s="144"/>
      <c r="H22" s="213" t="e">
        <f>'Produtividade Estações'!G112</f>
        <v>#VALUE!</v>
      </c>
      <c r="I22" s="214"/>
      <c r="J22" s="213" t="e">
        <f>'Produtividade Estações'!G147</f>
        <v>#VALUE!</v>
      </c>
      <c r="K22" s="214"/>
      <c r="L22" s="142" t="e">
        <f>'Produtividade Estações'!H181</f>
        <v>#VALUE!</v>
      </c>
      <c r="M22" s="144"/>
      <c r="N22" s="213" t="e">
        <f t="shared" si="0"/>
        <v>#VALUE!</v>
      </c>
      <c r="O22" s="214"/>
    </row>
    <row r="23" spans="2:15" ht="18" customHeight="1">
      <c r="B23" s="39">
        <v>15</v>
      </c>
      <c r="C23" s="27" t="s">
        <v>18</v>
      </c>
      <c r="D23" s="142" t="e">
        <f>'Produtividade Estações'!G25</f>
        <v>#VALUE!</v>
      </c>
      <c r="E23" s="144"/>
      <c r="F23" s="142" t="e">
        <f>'Produtividade Estações'!G69</f>
        <v>#VALUE!</v>
      </c>
      <c r="G23" s="144"/>
      <c r="H23" s="213" t="e">
        <f>'Produtividade Estações'!G113</f>
        <v>#VALUE!</v>
      </c>
      <c r="I23" s="214"/>
      <c r="J23" s="213" t="e">
        <f>'Produtividade Estações'!G148</f>
        <v>#VALUE!</v>
      </c>
      <c r="K23" s="214"/>
      <c r="L23" s="142" t="e">
        <f>'Produtividade Estações'!H182</f>
        <v>#VALUE!</v>
      </c>
      <c r="M23" s="144"/>
      <c r="N23" s="213" t="e">
        <f t="shared" si="0"/>
        <v>#VALUE!</v>
      </c>
      <c r="O23" s="214"/>
    </row>
    <row r="24" spans="2:15" ht="18" customHeight="1">
      <c r="B24" s="39">
        <v>16</v>
      </c>
      <c r="C24" s="27" t="s">
        <v>19</v>
      </c>
      <c r="D24" s="142" t="e">
        <f>'Produtividade Estações'!G26</f>
        <v>#VALUE!</v>
      </c>
      <c r="E24" s="144"/>
      <c r="F24" s="142" t="e">
        <f>'Produtividade Estações'!G70</f>
        <v>#VALUE!</v>
      </c>
      <c r="G24" s="144"/>
      <c r="H24" s="213" t="e">
        <f>'Produtividade Estações'!G114</f>
        <v>#VALUE!</v>
      </c>
      <c r="I24" s="214"/>
      <c r="J24" s="213" t="e">
        <f>'Produtividade Estações'!G149</f>
        <v>#VALUE!</v>
      </c>
      <c r="K24" s="214"/>
      <c r="L24" s="142" t="e">
        <f>'Produtividade Estações'!H183</f>
        <v>#VALUE!</v>
      </c>
      <c r="M24" s="144"/>
      <c r="N24" s="213" t="e">
        <f t="shared" si="0"/>
        <v>#VALUE!</v>
      </c>
      <c r="O24" s="214"/>
    </row>
    <row r="25" spans="2:15" ht="18" customHeight="1">
      <c r="B25" s="39">
        <v>17</v>
      </c>
      <c r="C25" s="27" t="s">
        <v>20</v>
      </c>
      <c r="D25" s="142" t="e">
        <f>'Produtividade Estações'!G27</f>
        <v>#VALUE!</v>
      </c>
      <c r="E25" s="144"/>
      <c r="F25" s="142" t="e">
        <f>'Produtividade Estações'!G71</f>
        <v>#VALUE!</v>
      </c>
      <c r="G25" s="144"/>
      <c r="H25" s="213" t="e">
        <f>'Produtividade Estações'!G115</f>
        <v>#VALUE!</v>
      </c>
      <c r="I25" s="214"/>
      <c r="J25" s="213" t="e">
        <f>'Produtividade Estações'!G150</f>
        <v>#VALUE!</v>
      </c>
      <c r="K25" s="214"/>
      <c r="L25" s="142" t="e">
        <f>'Produtividade Estações'!H184</f>
        <v>#VALUE!</v>
      </c>
      <c r="M25" s="144"/>
      <c r="N25" s="213" t="e">
        <f t="shared" si="0"/>
        <v>#VALUE!</v>
      </c>
      <c r="O25" s="214"/>
    </row>
    <row r="26" spans="2:15" s="1" customFormat="1" ht="18" customHeight="1">
      <c r="B26" s="39">
        <v>18</v>
      </c>
      <c r="C26" s="27" t="s">
        <v>85</v>
      </c>
      <c r="D26" s="142" t="e">
        <f>'Produtividade Estações'!G28</f>
        <v>#VALUE!</v>
      </c>
      <c r="E26" s="144"/>
      <c r="F26" s="142" t="e">
        <f>'Produtividade Estações'!G72</f>
        <v>#VALUE!</v>
      </c>
      <c r="G26" s="144"/>
      <c r="H26" s="213" t="e">
        <f>'Produtividade Estações'!G116</f>
        <v>#VALUE!</v>
      </c>
      <c r="I26" s="214"/>
      <c r="J26" s="213" t="e">
        <f>'Produtividade Estações'!G151</f>
        <v>#VALUE!</v>
      </c>
      <c r="K26" s="214"/>
      <c r="L26" s="142" t="e">
        <f>'Produtividade Estações'!H185</f>
        <v>#VALUE!</v>
      </c>
      <c r="M26" s="144"/>
      <c r="N26" s="213" t="e">
        <f t="shared" si="0"/>
        <v>#VALUE!</v>
      </c>
      <c r="O26" s="214"/>
    </row>
    <row r="27" spans="2:15" ht="18" customHeight="1">
      <c r="B27" s="39">
        <v>19</v>
      </c>
      <c r="C27" s="27" t="s">
        <v>14</v>
      </c>
      <c r="D27" s="142" t="e">
        <f>'Produtividade Estações'!G29</f>
        <v>#VALUE!</v>
      </c>
      <c r="E27" s="144"/>
      <c r="F27" s="142" t="e">
        <f>'Produtividade Estações'!G73</f>
        <v>#VALUE!</v>
      </c>
      <c r="G27" s="144"/>
      <c r="H27" s="213" t="e">
        <f>'Produtividade Estações'!G117</f>
        <v>#VALUE!</v>
      </c>
      <c r="I27" s="214"/>
      <c r="J27" s="213" t="e">
        <f>'Produtividade Estações'!G152</f>
        <v>#VALUE!</v>
      </c>
      <c r="K27" s="214"/>
      <c r="L27" s="142" t="e">
        <f>'Produtividade Estações'!H186</f>
        <v>#VALUE!</v>
      </c>
      <c r="M27" s="144"/>
      <c r="N27" s="213" t="e">
        <f t="shared" si="0"/>
        <v>#VALUE!</v>
      </c>
      <c r="O27" s="214"/>
    </row>
    <row r="28" spans="2:15" ht="18" customHeight="1">
      <c r="B28" s="39">
        <v>20</v>
      </c>
      <c r="C28" s="27" t="s">
        <v>15</v>
      </c>
      <c r="D28" s="142" t="e">
        <f>'Produtividade Estações'!G30</f>
        <v>#VALUE!</v>
      </c>
      <c r="E28" s="144"/>
      <c r="F28" s="142" t="e">
        <f>'Produtividade Estações'!G74</f>
        <v>#VALUE!</v>
      </c>
      <c r="G28" s="144"/>
      <c r="H28" s="213" t="e">
        <f>'Produtividade Estações'!G118</f>
        <v>#VALUE!</v>
      </c>
      <c r="I28" s="214"/>
      <c r="J28" s="213" t="e">
        <f>'Produtividade Estações'!G153</f>
        <v>#VALUE!</v>
      </c>
      <c r="K28" s="214"/>
      <c r="L28" s="142" t="e">
        <f>'Produtividade Estações'!H187</f>
        <v>#VALUE!</v>
      </c>
      <c r="M28" s="144"/>
      <c r="N28" s="213" t="e">
        <f t="shared" si="0"/>
        <v>#VALUE!</v>
      </c>
      <c r="O28" s="214"/>
    </row>
    <row r="29" spans="2:15" ht="18" customHeight="1">
      <c r="B29" s="39">
        <v>21</v>
      </c>
      <c r="C29" s="27" t="s">
        <v>16</v>
      </c>
      <c r="D29" s="142" t="e">
        <f>'Produtividade Estações'!G31</f>
        <v>#VALUE!</v>
      </c>
      <c r="E29" s="144"/>
      <c r="F29" s="142" t="e">
        <f>'Produtividade Estações'!G75</f>
        <v>#VALUE!</v>
      </c>
      <c r="G29" s="144"/>
      <c r="H29" s="213" t="e">
        <f>'Produtividade Estações'!G119</f>
        <v>#VALUE!</v>
      </c>
      <c r="I29" s="214"/>
      <c r="J29" s="213" t="e">
        <f>'Produtividade Estações'!G154</f>
        <v>#VALUE!</v>
      </c>
      <c r="K29" s="214"/>
      <c r="L29" s="142" t="e">
        <f>'Produtividade Estações'!H188</f>
        <v>#VALUE!</v>
      </c>
      <c r="M29" s="144"/>
      <c r="N29" s="213" t="e">
        <f t="shared" si="0"/>
        <v>#VALUE!</v>
      </c>
      <c r="O29" s="214"/>
    </row>
    <row r="30" spans="2:15" ht="18" customHeight="1">
      <c r="B30" s="39">
        <v>22</v>
      </c>
      <c r="C30" s="27" t="s">
        <v>17</v>
      </c>
      <c r="D30" s="142" t="e">
        <f>'Produtividade Estações'!G32</f>
        <v>#VALUE!</v>
      </c>
      <c r="E30" s="144"/>
      <c r="F30" s="142" t="e">
        <f>'Produtividade Estações'!G76</f>
        <v>#VALUE!</v>
      </c>
      <c r="G30" s="144"/>
      <c r="H30" s="213" t="e">
        <f>'Produtividade Estações'!G120</f>
        <v>#VALUE!</v>
      </c>
      <c r="I30" s="214"/>
      <c r="J30" s="213" t="e">
        <f>'Produtividade Estações'!G155</f>
        <v>#VALUE!</v>
      </c>
      <c r="K30" s="214"/>
      <c r="L30" s="142" t="e">
        <f>'Produtividade Estações'!H189</f>
        <v>#VALUE!</v>
      </c>
      <c r="M30" s="144"/>
      <c r="N30" s="213" t="e">
        <f t="shared" si="0"/>
        <v>#VALUE!</v>
      </c>
      <c r="O30" s="214"/>
    </row>
    <row r="31" spans="2:15" ht="18" customHeight="1">
      <c r="B31" s="39">
        <v>23</v>
      </c>
      <c r="C31" s="27" t="s">
        <v>21</v>
      </c>
      <c r="D31" s="142" t="e">
        <f>'Produtividade Estações'!G33</f>
        <v>#VALUE!</v>
      </c>
      <c r="E31" s="144"/>
      <c r="F31" s="142" t="e">
        <f>'Produtividade Estações'!G77</f>
        <v>#VALUE!</v>
      </c>
      <c r="G31" s="144"/>
      <c r="H31" s="213" t="e">
        <f>'Produtividade Estações'!G121</f>
        <v>#VALUE!</v>
      </c>
      <c r="I31" s="214"/>
      <c r="J31" s="213" t="e">
        <f>'Produtividade Estações'!G156</f>
        <v>#VALUE!</v>
      </c>
      <c r="K31" s="214"/>
      <c r="L31" s="142" t="e">
        <f>'Produtividade Estações'!H190</f>
        <v>#VALUE!</v>
      </c>
      <c r="M31" s="144"/>
      <c r="N31" s="213" t="e">
        <f t="shared" si="0"/>
        <v>#VALUE!</v>
      </c>
      <c r="O31" s="214"/>
    </row>
    <row r="32" spans="2:15" ht="18" customHeight="1">
      <c r="B32" s="39">
        <v>24</v>
      </c>
      <c r="C32" s="27" t="s">
        <v>22</v>
      </c>
      <c r="D32" s="142" t="e">
        <f>'Produtividade Estações'!G34</f>
        <v>#VALUE!</v>
      </c>
      <c r="E32" s="144"/>
      <c r="F32" s="142" t="e">
        <f>'Produtividade Estações'!G78</f>
        <v>#VALUE!</v>
      </c>
      <c r="G32" s="144"/>
      <c r="H32" s="213" t="e">
        <f>'Produtividade Estações'!G122</f>
        <v>#VALUE!</v>
      </c>
      <c r="I32" s="214"/>
      <c r="J32" s="213" t="e">
        <f>'Produtividade Estações'!G157</f>
        <v>#VALUE!</v>
      </c>
      <c r="K32" s="214"/>
      <c r="L32" s="142" t="e">
        <f>'Produtividade Estações'!H191</f>
        <v>#VALUE!</v>
      </c>
      <c r="M32" s="144"/>
      <c r="N32" s="213" t="e">
        <f t="shared" si="0"/>
        <v>#VALUE!</v>
      </c>
      <c r="O32" s="214"/>
    </row>
    <row r="33" spans="2:15" ht="18" customHeight="1">
      <c r="B33" s="39">
        <v>25</v>
      </c>
      <c r="C33" s="27" t="s">
        <v>72</v>
      </c>
      <c r="D33" s="142" t="e">
        <f>'Produtividade Estações'!G35</f>
        <v>#VALUE!</v>
      </c>
      <c r="E33" s="144"/>
      <c r="F33" s="142" t="e">
        <f>'Produtividade Estações'!G79</f>
        <v>#VALUE!</v>
      </c>
      <c r="G33" s="144"/>
      <c r="H33" s="213" t="e">
        <f>'Produtividade Estações'!G123</f>
        <v>#VALUE!</v>
      </c>
      <c r="I33" s="214"/>
      <c r="J33" s="213" t="e">
        <f>'Produtividade Estações'!G158</f>
        <v>#VALUE!</v>
      </c>
      <c r="K33" s="214"/>
      <c r="L33" s="142" t="e">
        <f>'Produtividade Estações'!H192</f>
        <v>#VALUE!</v>
      </c>
      <c r="M33" s="144"/>
      <c r="N33" s="213" t="e">
        <f t="shared" si="0"/>
        <v>#VALUE!</v>
      </c>
      <c r="O33" s="214"/>
    </row>
    <row r="34" spans="2:15" ht="18" customHeight="1">
      <c r="B34" s="39">
        <v>26</v>
      </c>
      <c r="C34" s="27" t="s">
        <v>23</v>
      </c>
      <c r="D34" s="142" t="e">
        <f>'Produtividade Estações'!G36</f>
        <v>#VALUE!</v>
      </c>
      <c r="E34" s="144"/>
      <c r="F34" s="142" t="e">
        <f>'Produtividade Estações'!G80</f>
        <v>#VALUE!</v>
      </c>
      <c r="G34" s="144"/>
      <c r="H34" s="213" t="e">
        <f>'Produtividade Estações'!G124</f>
        <v>#VALUE!</v>
      </c>
      <c r="I34" s="214"/>
      <c r="J34" s="213" t="e">
        <f>'Produtividade Estações'!G159</f>
        <v>#VALUE!</v>
      </c>
      <c r="K34" s="214"/>
      <c r="L34" s="142" t="e">
        <f>'Produtividade Estações'!H193</f>
        <v>#VALUE!</v>
      </c>
      <c r="M34" s="144"/>
      <c r="N34" s="213" t="e">
        <f t="shared" si="0"/>
        <v>#VALUE!</v>
      </c>
      <c r="O34" s="214"/>
    </row>
    <row r="35" spans="2:15" ht="18" customHeight="1">
      <c r="B35" s="39">
        <v>27</v>
      </c>
      <c r="C35" s="27" t="s">
        <v>24</v>
      </c>
      <c r="D35" s="142" t="e">
        <f>'Produtividade Estações'!G37</f>
        <v>#VALUE!</v>
      </c>
      <c r="E35" s="144"/>
      <c r="F35" s="142" t="e">
        <f>'Produtividade Estações'!G81</f>
        <v>#VALUE!</v>
      </c>
      <c r="G35" s="144"/>
      <c r="H35" s="213" t="e">
        <f>'Produtividade Estações'!G125</f>
        <v>#VALUE!</v>
      </c>
      <c r="I35" s="214"/>
      <c r="J35" s="213" t="e">
        <f>'Produtividade Estações'!G160</f>
        <v>#VALUE!</v>
      </c>
      <c r="K35" s="214"/>
      <c r="L35" s="142" t="e">
        <f>'Produtividade Estações'!H194</f>
        <v>#VALUE!</v>
      </c>
      <c r="M35" s="144"/>
      <c r="N35" s="213" t="e">
        <f t="shared" si="0"/>
        <v>#VALUE!</v>
      </c>
      <c r="O35" s="214"/>
    </row>
    <row r="36" spans="2:15"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  <row r="37" spans="2:15" s="1" customFormat="1">
      <c r="C37" s="37"/>
      <c r="D37" s="37"/>
      <c r="E37" s="37"/>
      <c r="F37" s="37"/>
      <c r="G37" s="37"/>
      <c r="H37" s="37"/>
      <c r="I37" s="37"/>
      <c r="J37" s="37"/>
      <c r="K37" s="37"/>
      <c r="L37" s="227" t="s">
        <v>3</v>
      </c>
      <c r="M37" s="227"/>
      <c r="N37" s="217" t="e">
        <f>SUM(N9:O35)</f>
        <v>#VALUE!</v>
      </c>
      <c r="O37" s="218"/>
    </row>
    <row r="38" spans="2:15" s="1" customFormat="1"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2:15" s="1" customForma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</row>
    <row r="40" spans="2:15" s="1" customFormat="1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2:15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2:15">
      <c r="B42" s="230" t="s">
        <v>188</v>
      </c>
      <c r="C42" s="230"/>
      <c r="D42" s="230"/>
      <c r="E42" s="230"/>
      <c r="F42" s="230"/>
      <c r="G42" s="230"/>
      <c r="H42" s="230"/>
      <c r="I42" s="230"/>
      <c r="J42" s="230"/>
      <c r="K42" s="230"/>
      <c r="L42" s="38"/>
      <c r="M42" s="38"/>
      <c r="N42" s="37"/>
      <c r="O42" s="37"/>
    </row>
    <row r="43" spans="2:15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2:15" ht="21" customHeight="1">
      <c r="B44" s="174" t="s">
        <v>0</v>
      </c>
      <c r="C44" s="174"/>
      <c r="D44" s="175" t="s">
        <v>44</v>
      </c>
      <c r="E44" s="175"/>
      <c r="F44" s="175" t="s">
        <v>43</v>
      </c>
      <c r="G44" s="175"/>
      <c r="H44" s="145" t="s">
        <v>109</v>
      </c>
      <c r="I44" s="146"/>
      <c r="J44" s="226" t="s">
        <v>46</v>
      </c>
      <c r="K44" s="226"/>
      <c r="L44" s="37"/>
      <c r="M44" s="37"/>
      <c r="N44" s="37"/>
      <c r="O44" s="37"/>
    </row>
    <row r="45" spans="2:15" ht="21" customHeight="1">
      <c r="B45" s="174"/>
      <c r="C45" s="174"/>
      <c r="D45" s="145" t="s">
        <v>32</v>
      </c>
      <c r="E45" s="146"/>
      <c r="F45" s="145" t="s">
        <v>32</v>
      </c>
      <c r="G45" s="146"/>
      <c r="H45" s="145" t="s">
        <v>32</v>
      </c>
      <c r="I45" s="146"/>
      <c r="J45" s="219" t="s">
        <v>32</v>
      </c>
      <c r="K45" s="220"/>
      <c r="L45" s="37"/>
      <c r="M45" s="37"/>
    </row>
    <row r="46" spans="2:15" ht="18" customHeight="1">
      <c r="B46" s="39">
        <v>1</v>
      </c>
      <c r="C46" s="27" t="s">
        <v>2</v>
      </c>
      <c r="D46" s="213" t="e">
        <f>'Produtividade Estações'!L11</f>
        <v>#VALUE!</v>
      </c>
      <c r="E46" s="214"/>
      <c r="F46" s="213" t="e">
        <f>'Produtividade Estações'!L55</f>
        <v>#VALUE!</v>
      </c>
      <c r="G46" s="214"/>
      <c r="H46" s="213" t="e">
        <f>'Produtividade Estações'!H168</f>
        <v>#VALUE!</v>
      </c>
      <c r="I46" s="214"/>
      <c r="J46" s="213" t="e">
        <f>D46+F46+H46</f>
        <v>#VALUE!</v>
      </c>
      <c r="K46" s="214"/>
      <c r="L46" s="37"/>
      <c r="M46" s="37"/>
    </row>
    <row r="47" spans="2:15" ht="18" customHeight="1">
      <c r="B47" s="39">
        <v>2</v>
      </c>
      <c r="C47" s="27" t="s">
        <v>5</v>
      </c>
      <c r="D47" s="213" t="e">
        <f>'Produtividade Estações'!L12</f>
        <v>#VALUE!</v>
      </c>
      <c r="E47" s="214"/>
      <c r="F47" s="213" t="e">
        <f>'Produtividade Estações'!L56</f>
        <v>#VALUE!</v>
      </c>
      <c r="G47" s="214"/>
      <c r="H47" s="213" t="e">
        <f>'Produtividade Estações'!H169</f>
        <v>#VALUE!</v>
      </c>
      <c r="I47" s="214"/>
      <c r="J47" s="213" t="e">
        <f t="shared" ref="J47:J72" si="1">D47+F47+H47</f>
        <v>#VALUE!</v>
      </c>
      <c r="K47" s="214"/>
      <c r="L47" s="37"/>
      <c r="M47" s="37"/>
    </row>
    <row r="48" spans="2:15" ht="18" customHeight="1">
      <c r="B48" s="39">
        <v>3</v>
      </c>
      <c r="C48" s="27" t="s">
        <v>86</v>
      </c>
      <c r="D48" s="213" t="e">
        <f>'Produtividade Estações'!L13</f>
        <v>#VALUE!</v>
      </c>
      <c r="E48" s="214"/>
      <c r="F48" s="213" t="e">
        <f>'Produtividade Estações'!L57</f>
        <v>#VALUE!</v>
      </c>
      <c r="G48" s="214"/>
      <c r="H48" s="213" t="e">
        <f>'Produtividade Estações'!H170</f>
        <v>#VALUE!</v>
      </c>
      <c r="I48" s="214"/>
      <c r="J48" s="213" t="e">
        <f t="shared" si="1"/>
        <v>#VALUE!</v>
      </c>
      <c r="K48" s="214"/>
      <c r="L48" s="37"/>
      <c r="M48" s="37"/>
    </row>
    <row r="49" spans="2:13" s="1" customFormat="1" ht="18" customHeight="1">
      <c r="B49" s="39">
        <v>4</v>
      </c>
      <c r="C49" s="27" t="s">
        <v>83</v>
      </c>
      <c r="D49" s="213" t="e">
        <f>'Produtividade Estações'!L14</f>
        <v>#VALUE!</v>
      </c>
      <c r="E49" s="214"/>
      <c r="F49" s="213" t="e">
        <f>'Produtividade Estações'!L58</f>
        <v>#VALUE!</v>
      </c>
      <c r="G49" s="214"/>
      <c r="H49" s="213" t="e">
        <f>'Produtividade Estações'!H171</f>
        <v>#VALUE!</v>
      </c>
      <c r="I49" s="214"/>
      <c r="J49" s="213" t="e">
        <f t="shared" si="1"/>
        <v>#VALUE!</v>
      </c>
      <c r="K49" s="214"/>
      <c r="L49" s="37"/>
      <c r="M49" s="37"/>
    </row>
    <row r="50" spans="2:13" ht="18" customHeight="1">
      <c r="B50" s="39">
        <v>5</v>
      </c>
      <c r="C50" s="27" t="s">
        <v>87</v>
      </c>
      <c r="D50" s="213" t="e">
        <f>'Produtividade Estações'!L15</f>
        <v>#VALUE!</v>
      </c>
      <c r="E50" s="214"/>
      <c r="F50" s="213" t="e">
        <f>'Produtividade Estações'!L59</f>
        <v>#VALUE!</v>
      </c>
      <c r="G50" s="214"/>
      <c r="H50" s="213" t="e">
        <f>'Produtividade Estações'!H172</f>
        <v>#VALUE!</v>
      </c>
      <c r="I50" s="214"/>
      <c r="J50" s="213" t="e">
        <f t="shared" si="1"/>
        <v>#VALUE!</v>
      </c>
      <c r="K50" s="214"/>
      <c r="L50" s="37"/>
      <c r="M50" s="37"/>
    </row>
    <row r="51" spans="2:13" s="1" customFormat="1" ht="18" customHeight="1">
      <c r="B51" s="39">
        <v>6</v>
      </c>
      <c r="C51" s="27" t="s">
        <v>84</v>
      </c>
      <c r="D51" s="213" t="e">
        <f>'Produtividade Estações'!L16</f>
        <v>#VALUE!</v>
      </c>
      <c r="E51" s="214"/>
      <c r="F51" s="213" t="e">
        <f>'Produtividade Estações'!L60</f>
        <v>#VALUE!</v>
      </c>
      <c r="G51" s="214"/>
      <c r="H51" s="213" t="e">
        <f>'Produtividade Estações'!H173</f>
        <v>#VALUE!</v>
      </c>
      <c r="I51" s="214"/>
      <c r="J51" s="213" t="e">
        <f t="shared" si="1"/>
        <v>#VALUE!</v>
      </c>
      <c r="K51" s="214"/>
      <c r="L51" s="37"/>
      <c r="M51" s="37"/>
    </row>
    <row r="52" spans="2:13" ht="18" customHeight="1">
      <c r="B52" s="39">
        <v>7</v>
      </c>
      <c r="C52" s="27" t="s">
        <v>93</v>
      </c>
      <c r="D52" s="213" t="e">
        <f>'Produtividade Estações'!L17</f>
        <v>#VALUE!</v>
      </c>
      <c r="E52" s="214"/>
      <c r="F52" s="213" t="e">
        <f>'Produtividade Estações'!L61</f>
        <v>#VALUE!</v>
      </c>
      <c r="G52" s="214"/>
      <c r="H52" s="213" t="e">
        <f>'Produtividade Estações'!H174</f>
        <v>#VALUE!</v>
      </c>
      <c r="I52" s="214"/>
      <c r="J52" s="213" t="e">
        <f t="shared" si="1"/>
        <v>#VALUE!</v>
      </c>
      <c r="K52" s="214"/>
      <c r="L52" s="37"/>
      <c r="M52" s="37"/>
    </row>
    <row r="53" spans="2:13" ht="18" customHeight="1">
      <c r="B53" s="39">
        <v>8</v>
      </c>
      <c r="C53" s="27" t="s">
        <v>94</v>
      </c>
      <c r="D53" s="213" t="e">
        <f>'Produtividade Estações'!L18</f>
        <v>#VALUE!</v>
      </c>
      <c r="E53" s="214"/>
      <c r="F53" s="213" t="e">
        <f>'Produtividade Estações'!L62</f>
        <v>#VALUE!</v>
      </c>
      <c r="G53" s="214"/>
      <c r="H53" s="213" t="e">
        <f>'Produtividade Estações'!H175</f>
        <v>#VALUE!</v>
      </c>
      <c r="I53" s="214"/>
      <c r="J53" s="213" t="e">
        <f t="shared" si="1"/>
        <v>#VALUE!</v>
      </c>
      <c r="K53" s="214"/>
      <c r="L53" s="37"/>
      <c r="M53" s="37"/>
    </row>
    <row r="54" spans="2:13" ht="18" customHeight="1">
      <c r="B54" s="39">
        <v>9</v>
      </c>
      <c r="C54" s="27" t="s">
        <v>8</v>
      </c>
      <c r="D54" s="213" t="e">
        <f>'Produtividade Estações'!L19</f>
        <v>#VALUE!</v>
      </c>
      <c r="E54" s="214"/>
      <c r="F54" s="213" t="e">
        <f>'Produtividade Estações'!L63</f>
        <v>#VALUE!</v>
      </c>
      <c r="G54" s="214"/>
      <c r="H54" s="213" t="e">
        <f>'Produtividade Estações'!H176</f>
        <v>#VALUE!</v>
      </c>
      <c r="I54" s="214"/>
      <c r="J54" s="213" t="e">
        <f t="shared" si="1"/>
        <v>#VALUE!</v>
      </c>
      <c r="K54" s="214"/>
      <c r="L54" s="37"/>
      <c r="M54" s="37"/>
    </row>
    <row r="55" spans="2:13" ht="18" customHeight="1">
      <c r="B55" s="39">
        <v>10</v>
      </c>
      <c r="C55" s="27" t="s">
        <v>95</v>
      </c>
      <c r="D55" s="213" t="e">
        <f>'Produtividade Estações'!L20</f>
        <v>#VALUE!</v>
      </c>
      <c r="E55" s="214"/>
      <c r="F55" s="213" t="e">
        <f>'Produtividade Estações'!L64</f>
        <v>#VALUE!</v>
      </c>
      <c r="G55" s="214"/>
      <c r="H55" s="213" t="e">
        <f>'Produtividade Estações'!H177</f>
        <v>#VALUE!</v>
      </c>
      <c r="I55" s="214"/>
      <c r="J55" s="213" t="e">
        <f t="shared" si="1"/>
        <v>#VALUE!</v>
      </c>
      <c r="K55" s="214"/>
      <c r="L55" s="37"/>
      <c r="M55" s="37"/>
    </row>
    <row r="56" spans="2:13" ht="18" customHeight="1">
      <c r="B56" s="39">
        <v>11</v>
      </c>
      <c r="C56" s="27" t="s">
        <v>10</v>
      </c>
      <c r="D56" s="213" t="e">
        <f>'Produtividade Estações'!L21</f>
        <v>#VALUE!</v>
      </c>
      <c r="E56" s="214"/>
      <c r="F56" s="213" t="e">
        <f>'Produtividade Estações'!L65</f>
        <v>#VALUE!</v>
      </c>
      <c r="G56" s="214"/>
      <c r="H56" s="213" t="e">
        <f>'Produtividade Estações'!H178</f>
        <v>#VALUE!</v>
      </c>
      <c r="I56" s="214"/>
      <c r="J56" s="213" t="e">
        <f t="shared" si="1"/>
        <v>#VALUE!</v>
      </c>
      <c r="K56" s="214"/>
      <c r="L56" s="37"/>
      <c r="M56" s="37"/>
    </row>
    <row r="57" spans="2:13" ht="18" customHeight="1">
      <c r="B57" s="39">
        <v>12</v>
      </c>
      <c r="C57" s="27" t="s">
        <v>11</v>
      </c>
      <c r="D57" s="213" t="e">
        <f>'Produtividade Estações'!L22</f>
        <v>#VALUE!</v>
      </c>
      <c r="E57" s="214"/>
      <c r="F57" s="213" t="e">
        <f>'Produtividade Estações'!L66</f>
        <v>#VALUE!</v>
      </c>
      <c r="G57" s="214"/>
      <c r="H57" s="213" t="e">
        <f>'Produtividade Estações'!H179</f>
        <v>#VALUE!</v>
      </c>
      <c r="I57" s="214"/>
      <c r="J57" s="213" t="e">
        <f t="shared" si="1"/>
        <v>#VALUE!</v>
      </c>
      <c r="K57" s="214"/>
      <c r="L57" s="37"/>
      <c r="M57" s="37"/>
    </row>
    <row r="58" spans="2:13" ht="18" customHeight="1">
      <c r="B58" s="39">
        <v>13</v>
      </c>
      <c r="C58" s="27" t="s">
        <v>12</v>
      </c>
      <c r="D58" s="213" t="e">
        <f>'Produtividade Estações'!L23</f>
        <v>#VALUE!</v>
      </c>
      <c r="E58" s="214"/>
      <c r="F58" s="213" t="e">
        <f>'Produtividade Estações'!L67</f>
        <v>#VALUE!</v>
      </c>
      <c r="G58" s="214"/>
      <c r="H58" s="213" t="e">
        <f>'Produtividade Estações'!H180</f>
        <v>#VALUE!</v>
      </c>
      <c r="I58" s="214"/>
      <c r="J58" s="213" t="e">
        <f t="shared" si="1"/>
        <v>#VALUE!</v>
      </c>
      <c r="K58" s="214"/>
      <c r="L58" s="37"/>
      <c r="M58" s="37"/>
    </row>
    <row r="59" spans="2:13" ht="18" customHeight="1">
      <c r="B59" s="39">
        <v>14</v>
      </c>
      <c r="C59" s="27" t="s">
        <v>13</v>
      </c>
      <c r="D59" s="213" t="e">
        <f>'Produtividade Estações'!L24</f>
        <v>#VALUE!</v>
      </c>
      <c r="E59" s="214"/>
      <c r="F59" s="213" t="e">
        <f>'Produtividade Estações'!L68</f>
        <v>#VALUE!</v>
      </c>
      <c r="G59" s="214"/>
      <c r="H59" s="213" t="e">
        <f>'Produtividade Estações'!H181</f>
        <v>#VALUE!</v>
      </c>
      <c r="I59" s="214"/>
      <c r="J59" s="213" t="e">
        <f t="shared" si="1"/>
        <v>#VALUE!</v>
      </c>
      <c r="K59" s="214"/>
      <c r="L59" s="37"/>
      <c r="M59" s="37"/>
    </row>
    <row r="60" spans="2:13" ht="18" customHeight="1">
      <c r="B60" s="39">
        <v>15</v>
      </c>
      <c r="C60" s="27" t="s">
        <v>18</v>
      </c>
      <c r="D60" s="213" t="e">
        <f>'Produtividade Estações'!L25</f>
        <v>#VALUE!</v>
      </c>
      <c r="E60" s="214"/>
      <c r="F60" s="213" t="e">
        <f>'Produtividade Estações'!L69</f>
        <v>#VALUE!</v>
      </c>
      <c r="G60" s="214"/>
      <c r="H60" s="213" t="e">
        <f>'Produtividade Estações'!H182</f>
        <v>#VALUE!</v>
      </c>
      <c r="I60" s="214"/>
      <c r="J60" s="213" t="e">
        <f t="shared" si="1"/>
        <v>#VALUE!</v>
      </c>
      <c r="K60" s="214"/>
      <c r="L60" s="37"/>
      <c r="M60" s="37"/>
    </row>
    <row r="61" spans="2:13" ht="18" customHeight="1">
      <c r="B61" s="39">
        <v>16</v>
      </c>
      <c r="C61" s="27" t="s">
        <v>19</v>
      </c>
      <c r="D61" s="213" t="e">
        <f>'Produtividade Estações'!L26</f>
        <v>#VALUE!</v>
      </c>
      <c r="E61" s="214"/>
      <c r="F61" s="213" t="e">
        <f>'Produtividade Estações'!L70</f>
        <v>#VALUE!</v>
      </c>
      <c r="G61" s="214"/>
      <c r="H61" s="213" t="e">
        <f>'Produtividade Estações'!H183</f>
        <v>#VALUE!</v>
      </c>
      <c r="I61" s="214"/>
      <c r="J61" s="213" t="e">
        <f t="shared" si="1"/>
        <v>#VALUE!</v>
      </c>
      <c r="K61" s="214"/>
      <c r="L61" s="37"/>
      <c r="M61" s="37"/>
    </row>
    <row r="62" spans="2:13" ht="18" customHeight="1">
      <c r="B62" s="39">
        <v>17</v>
      </c>
      <c r="C62" s="27" t="s">
        <v>20</v>
      </c>
      <c r="D62" s="213" t="e">
        <f>'Produtividade Estações'!L27</f>
        <v>#VALUE!</v>
      </c>
      <c r="E62" s="214"/>
      <c r="F62" s="213" t="e">
        <f>'Produtividade Estações'!L71</f>
        <v>#VALUE!</v>
      </c>
      <c r="G62" s="214"/>
      <c r="H62" s="213" t="e">
        <f>'Produtividade Estações'!H184</f>
        <v>#VALUE!</v>
      </c>
      <c r="I62" s="214"/>
      <c r="J62" s="213" t="e">
        <f t="shared" si="1"/>
        <v>#VALUE!</v>
      </c>
      <c r="K62" s="214"/>
      <c r="L62" s="37"/>
      <c r="M62" s="37"/>
    </row>
    <row r="63" spans="2:13" s="1" customFormat="1" ht="18" customHeight="1">
      <c r="B63" s="39">
        <v>18</v>
      </c>
      <c r="C63" s="27" t="s">
        <v>85</v>
      </c>
      <c r="D63" s="213" t="e">
        <f>'Produtividade Estações'!L28</f>
        <v>#VALUE!</v>
      </c>
      <c r="E63" s="214"/>
      <c r="F63" s="213" t="e">
        <f>'Produtividade Estações'!L72</f>
        <v>#VALUE!</v>
      </c>
      <c r="G63" s="214"/>
      <c r="H63" s="213" t="e">
        <f>'Produtividade Estações'!H185</f>
        <v>#VALUE!</v>
      </c>
      <c r="I63" s="214"/>
      <c r="J63" s="213" t="e">
        <f t="shared" si="1"/>
        <v>#VALUE!</v>
      </c>
      <c r="K63" s="214"/>
      <c r="L63" s="37"/>
      <c r="M63" s="37"/>
    </row>
    <row r="64" spans="2:13" ht="18" customHeight="1">
      <c r="B64" s="39">
        <v>19</v>
      </c>
      <c r="C64" s="27" t="s">
        <v>14</v>
      </c>
      <c r="D64" s="213" t="e">
        <f>'Produtividade Estações'!L29</f>
        <v>#VALUE!</v>
      </c>
      <c r="E64" s="214"/>
      <c r="F64" s="213" t="e">
        <f>'Produtividade Estações'!L73</f>
        <v>#VALUE!</v>
      </c>
      <c r="G64" s="214"/>
      <c r="H64" s="213" t="e">
        <f>'Produtividade Estações'!H186</f>
        <v>#VALUE!</v>
      </c>
      <c r="I64" s="214"/>
      <c r="J64" s="213" t="e">
        <f t="shared" si="1"/>
        <v>#VALUE!</v>
      </c>
      <c r="K64" s="214"/>
      <c r="L64" s="37"/>
      <c r="M64" s="37"/>
    </row>
    <row r="65" spans="2:13" ht="18" customHeight="1">
      <c r="B65" s="39">
        <v>20</v>
      </c>
      <c r="C65" s="27" t="s">
        <v>15</v>
      </c>
      <c r="D65" s="213" t="e">
        <f>'Produtividade Estações'!L30</f>
        <v>#VALUE!</v>
      </c>
      <c r="E65" s="214"/>
      <c r="F65" s="213" t="e">
        <f>'Produtividade Estações'!L74</f>
        <v>#VALUE!</v>
      </c>
      <c r="G65" s="214"/>
      <c r="H65" s="213" t="e">
        <f>'Produtividade Estações'!H187</f>
        <v>#VALUE!</v>
      </c>
      <c r="I65" s="214"/>
      <c r="J65" s="213" t="e">
        <f t="shared" si="1"/>
        <v>#VALUE!</v>
      </c>
      <c r="K65" s="214"/>
      <c r="L65" s="37"/>
      <c r="M65" s="37"/>
    </row>
    <row r="66" spans="2:13" ht="18" customHeight="1">
      <c r="B66" s="39">
        <v>21</v>
      </c>
      <c r="C66" s="27" t="s">
        <v>16</v>
      </c>
      <c r="D66" s="213" t="e">
        <f>'Produtividade Estações'!L31</f>
        <v>#VALUE!</v>
      </c>
      <c r="E66" s="214"/>
      <c r="F66" s="213" t="e">
        <f>'Produtividade Estações'!L75</f>
        <v>#VALUE!</v>
      </c>
      <c r="G66" s="214"/>
      <c r="H66" s="213" t="e">
        <f>'Produtividade Estações'!H188</f>
        <v>#VALUE!</v>
      </c>
      <c r="I66" s="214"/>
      <c r="J66" s="213" t="e">
        <f t="shared" si="1"/>
        <v>#VALUE!</v>
      </c>
      <c r="K66" s="214"/>
      <c r="L66" s="37"/>
      <c r="M66" s="37"/>
    </row>
    <row r="67" spans="2:13" ht="18" customHeight="1">
      <c r="B67" s="39">
        <v>22</v>
      </c>
      <c r="C67" s="27" t="s">
        <v>17</v>
      </c>
      <c r="D67" s="213" t="e">
        <f>'Produtividade Estações'!L32</f>
        <v>#VALUE!</v>
      </c>
      <c r="E67" s="214"/>
      <c r="F67" s="213" t="e">
        <f>'Produtividade Estações'!L76</f>
        <v>#VALUE!</v>
      </c>
      <c r="G67" s="214"/>
      <c r="H67" s="213" t="e">
        <f>'Produtividade Estações'!H189</f>
        <v>#VALUE!</v>
      </c>
      <c r="I67" s="214"/>
      <c r="J67" s="213" t="e">
        <f t="shared" si="1"/>
        <v>#VALUE!</v>
      </c>
      <c r="K67" s="214"/>
      <c r="L67" s="37"/>
      <c r="M67" s="37"/>
    </row>
    <row r="68" spans="2:13" ht="18" customHeight="1">
      <c r="B68" s="39">
        <v>23</v>
      </c>
      <c r="C68" s="27" t="s">
        <v>21</v>
      </c>
      <c r="D68" s="213" t="e">
        <f>'Produtividade Estações'!L33</f>
        <v>#VALUE!</v>
      </c>
      <c r="E68" s="214"/>
      <c r="F68" s="213" t="e">
        <f>'Produtividade Estações'!L77</f>
        <v>#VALUE!</v>
      </c>
      <c r="G68" s="214"/>
      <c r="H68" s="213" t="e">
        <f>'Produtividade Estações'!H190</f>
        <v>#VALUE!</v>
      </c>
      <c r="I68" s="214"/>
      <c r="J68" s="213" t="e">
        <f t="shared" si="1"/>
        <v>#VALUE!</v>
      </c>
      <c r="K68" s="214"/>
      <c r="L68" s="37"/>
      <c r="M68" s="37"/>
    </row>
    <row r="69" spans="2:13" ht="18" customHeight="1">
      <c r="B69" s="39">
        <v>24</v>
      </c>
      <c r="C69" s="27" t="s">
        <v>22</v>
      </c>
      <c r="D69" s="213" t="e">
        <f>'Produtividade Estações'!L34</f>
        <v>#VALUE!</v>
      </c>
      <c r="E69" s="214"/>
      <c r="F69" s="213" t="e">
        <f>'Produtividade Estações'!L78</f>
        <v>#VALUE!</v>
      </c>
      <c r="G69" s="214"/>
      <c r="H69" s="213" t="e">
        <f>'Produtividade Estações'!H191</f>
        <v>#VALUE!</v>
      </c>
      <c r="I69" s="214"/>
      <c r="J69" s="213" t="e">
        <f t="shared" si="1"/>
        <v>#VALUE!</v>
      </c>
      <c r="K69" s="214"/>
      <c r="L69" s="37"/>
      <c r="M69" s="37"/>
    </row>
    <row r="70" spans="2:13" ht="18" customHeight="1">
      <c r="B70" s="39">
        <v>25</v>
      </c>
      <c r="C70" s="27" t="s">
        <v>72</v>
      </c>
      <c r="D70" s="213" t="e">
        <f>'Produtividade Estações'!L35</f>
        <v>#VALUE!</v>
      </c>
      <c r="E70" s="214"/>
      <c r="F70" s="213" t="e">
        <f>'Produtividade Estações'!L79</f>
        <v>#VALUE!</v>
      </c>
      <c r="G70" s="214"/>
      <c r="H70" s="213" t="e">
        <f>'Produtividade Estações'!H192</f>
        <v>#VALUE!</v>
      </c>
      <c r="I70" s="214"/>
      <c r="J70" s="213" t="e">
        <f t="shared" si="1"/>
        <v>#VALUE!</v>
      </c>
      <c r="K70" s="214"/>
      <c r="L70" s="37"/>
      <c r="M70" s="37"/>
    </row>
    <row r="71" spans="2:13" ht="18" customHeight="1">
      <c r="B71" s="39">
        <v>26</v>
      </c>
      <c r="C71" s="27" t="s">
        <v>23</v>
      </c>
      <c r="D71" s="213" t="e">
        <f>'Produtividade Estações'!L36</f>
        <v>#VALUE!</v>
      </c>
      <c r="E71" s="214"/>
      <c r="F71" s="213" t="e">
        <f>'Produtividade Estações'!L80</f>
        <v>#VALUE!</v>
      </c>
      <c r="G71" s="214"/>
      <c r="H71" s="213" t="e">
        <f>'Produtividade Estações'!H193</f>
        <v>#VALUE!</v>
      </c>
      <c r="I71" s="214"/>
      <c r="J71" s="213" t="e">
        <f t="shared" si="1"/>
        <v>#VALUE!</v>
      </c>
      <c r="K71" s="214"/>
      <c r="L71" s="37"/>
      <c r="M71" s="37"/>
    </row>
    <row r="72" spans="2:13" ht="18" customHeight="1">
      <c r="B72" s="39">
        <v>27</v>
      </c>
      <c r="C72" s="27" t="s">
        <v>24</v>
      </c>
      <c r="D72" s="213" t="e">
        <f>'Produtividade Estações'!L37</f>
        <v>#VALUE!</v>
      </c>
      <c r="E72" s="214"/>
      <c r="F72" s="213" t="e">
        <f>'Produtividade Estações'!L81</f>
        <v>#VALUE!</v>
      </c>
      <c r="G72" s="214"/>
      <c r="H72" s="213" t="e">
        <f>'Produtividade Estações'!H194</f>
        <v>#VALUE!</v>
      </c>
      <c r="I72" s="214"/>
      <c r="J72" s="213" t="e">
        <f t="shared" si="1"/>
        <v>#VALUE!</v>
      </c>
      <c r="K72" s="214"/>
      <c r="L72" s="37"/>
      <c r="M72" s="37"/>
    </row>
    <row r="73" spans="2:13">
      <c r="C73" s="37"/>
      <c r="D73" s="37"/>
      <c r="E73" s="37"/>
      <c r="F73" s="37"/>
      <c r="G73" s="37"/>
      <c r="L73" s="37"/>
      <c r="M73" s="37"/>
    </row>
    <row r="74" spans="2:13">
      <c r="C74" s="37"/>
      <c r="D74" s="37"/>
      <c r="E74" s="37"/>
      <c r="F74" s="37"/>
      <c r="G74" s="37"/>
      <c r="H74" s="227" t="s">
        <v>187</v>
      </c>
      <c r="I74" s="227"/>
      <c r="J74" s="215" t="e">
        <f>SUM(J46:K72)</f>
        <v>#VALUE!</v>
      </c>
      <c r="K74" s="216"/>
      <c r="L74" s="37"/>
      <c r="M74" s="37"/>
    </row>
    <row r="75" spans="2:13">
      <c r="C75" s="37"/>
      <c r="D75" s="37"/>
      <c r="E75" s="37"/>
      <c r="F75" s="37"/>
      <c r="G75" s="37"/>
      <c r="L75" s="37"/>
      <c r="M75" s="37"/>
    </row>
    <row r="76" spans="2:13"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</row>
    <row r="77" spans="2:13"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</row>
    <row r="78" spans="2:13"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</row>
    <row r="79" spans="2:13">
      <c r="C79" s="37"/>
      <c r="D79" s="37"/>
      <c r="E79" s="37"/>
      <c r="F79" s="37"/>
      <c r="G79" s="37"/>
      <c r="H79" s="42"/>
      <c r="I79" s="42"/>
      <c r="J79" s="37"/>
      <c r="K79" s="37"/>
      <c r="L79" s="37"/>
      <c r="M79" s="37"/>
    </row>
    <row r="80" spans="2:13"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</row>
    <row r="81" spans="3:13"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</row>
    <row r="82" spans="3:13"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</row>
    <row r="83" spans="3:13"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</row>
    <row r="84" spans="3:13"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</row>
    <row r="85" spans="3:13"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</row>
    <row r="86" spans="3:13"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</row>
    <row r="87" spans="3:13"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</row>
    <row r="88" spans="3:13"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</row>
    <row r="89" spans="3:13"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</row>
    <row r="90" spans="3:13"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</row>
    <row r="91" spans="3:13"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</row>
    <row r="92" spans="3:13"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</row>
    <row r="93" spans="3:13"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</row>
    <row r="94" spans="3:13"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</row>
    <row r="95" spans="3:13"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</row>
    <row r="96" spans="3:13"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</row>
    <row r="97" spans="3:13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</row>
    <row r="98" spans="3:13"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</row>
    <row r="99" spans="3:13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</row>
    <row r="100" spans="3:13"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</row>
    <row r="101" spans="3:13"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</row>
    <row r="102" spans="3:13"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</row>
    <row r="103" spans="3:13"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</row>
    <row r="104" spans="3:13"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</row>
    <row r="105" spans="3:13"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</row>
    <row r="106" spans="3:13"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</row>
    <row r="107" spans="3:13"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</row>
    <row r="108" spans="3:13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</row>
    <row r="109" spans="3:13"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</row>
    <row r="110" spans="3:13"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</row>
    <row r="111" spans="3:13"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</row>
    <row r="112" spans="3:13"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</row>
    <row r="113" spans="3:13"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</row>
    <row r="114" spans="3:13"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</row>
    <row r="115" spans="3:13"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</row>
    <row r="116" spans="3:13"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</row>
    <row r="117" spans="3:13"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</row>
    <row r="118" spans="3:13"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</row>
    <row r="119" spans="3:13"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</row>
    <row r="120" spans="3:13"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</row>
    <row r="121" spans="3:13"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</row>
    <row r="122" spans="3:13"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</row>
    <row r="123" spans="3:13"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</row>
    <row r="124" spans="3:13"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</row>
    <row r="125" spans="3:13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</row>
    <row r="126" spans="3:13"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</row>
    <row r="127" spans="3:13"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</row>
    <row r="128" spans="3:13"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</row>
    <row r="129" spans="3:13"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</row>
    <row r="130" spans="3:13"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</row>
    <row r="131" spans="3:13"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</row>
    <row r="132" spans="3:13"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</row>
    <row r="133" spans="3:13"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</row>
    <row r="134" spans="3:13"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</row>
    <row r="135" spans="3:13"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</row>
    <row r="136" spans="3:13"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</row>
    <row r="137" spans="3:13"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</row>
    <row r="138" spans="3:13"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</row>
    <row r="139" spans="3:13"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</row>
    <row r="140" spans="3:13"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</row>
    <row r="141" spans="3:13"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</row>
    <row r="142" spans="3:13"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</row>
    <row r="143" spans="3:13"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</row>
    <row r="144" spans="3:13"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</row>
    <row r="145" spans="3:13"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</row>
    <row r="146" spans="3:13"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</row>
    <row r="147" spans="3:13"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</row>
    <row r="148" spans="3:13"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</row>
    <row r="149" spans="3:13"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</row>
    <row r="150" spans="3:13"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</row>
    <row r="151" spans="3:13"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</row>
    <row r="152" spans="3:13"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</row>
    <row r="153" spans="3:13"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</row>
    <row r="154" spans="3:13"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</row>
    <row r="155" spans="3:13"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</row>
    <row r="156" spans="3:13"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</row>
    <row r="157" spans="3:13"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</row>
    <row r="158" spans="3:13"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</row>
    <row r="159" spans="3:13"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</row>
    <row r="160" spans="3:13"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</row>
    <row r="161" spans="3:13"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</row>
    <row r="162" spans="3:13"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</row>
    <row r="163" spans="3:13"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</row>
    <row r="164" spans="3:13"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</row>
    <row r="165" spans="3:13"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</row>
    <row r="166" spans="3:13"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</row>
    <row r="167" spans="3:13"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</row>
    <row r="168" spans="3:13"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</row>
    <row r="169" spans="3:13"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</row>
    <row r="170" spans="3:13"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</row>
    <row r="171" spans="3:13"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</row>
    <row r="172" spans="3:13"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</row>
    <row r="173" spans="3:13"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</row>
    <row r="174" spans="3:13"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</row>
    <row r="175" spans="3:13"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</row>
    <row r="176" spans="3:13"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</row>
    <row r="177" spans="3:13"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</row>
    <row r="178" spans="3:13"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</row>
    <row r="179" spans="3:13"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</row>
    <row r="180" spans="3:13"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</row>
    <row r="181" spans="3:13"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</row>
    <row r="182" spans="3:13"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</row>
    <row r="183" spans="3:13"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</row>
    <row r="184" spans="3:13"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</row>
    <row r="185" spans="3:13"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</row>
    <row r="186" spans="3:13"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</row>
    <row r="187" spans="3:13"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</row>
  </sheetData>
  <mergeCells count="299">
    <mergeCell ref="B7:B8"/>
    <mergeCell ref="L7:M7"/>
    <mergeCell ref="H74:I74"/>
    <mergeCell ref="J7:K7"/>
    <mergeCell ref="H7:I7"/>
    <mergeCell ref="B44:C45"/>
    <mergeCell ref="H44:I44"/>
    <mergeCell ref="B42:K42"/>
    <mergeCell ref="D9:E9"/>
    <mergeCell ref="F9:G9"/>
    <mergeCell ref="H9:I9"/>
    <mergeCell ref="J9:K9"/>
    <mergeCell ref="L9:M9"/>
    <mergeCell ref="D14:E14"/>
    <mergeCell ref="D15:E15"/>
    <mergeCell ref="D16:E16"/>
    <mergeCell ref="D10:E10"/>
    <mergeCell ref="D11:E11"/>
    <mergeCell ref="D12:E12"/>
    <mergeCell ref="D13:E13"/>
    <mergeCell ref="F26:G26"/>
    <mergeCell ref="D32:E32"/>
    <mergeCell ref="D33:E33"/>
    <mergeCell ref="D34:E34"/>
    <mergeCell ref="C3:O3"/>
    <mergeCell ref="D44:E44"/>
    <mergeCell ref="F44:G44"/>
    <mergeCell ref="J44:K44"/>
    <mergeCell ref="C7:C8"/>
    <mergeCell ref="D7:E7"/>
    <mergeCell ref="F7:G7"/>
    <mergeCell ref="L37:M37"/>
    <mergeCell ref="C5:O5"/>
    <mergeCell ref="D8:E8"/>
    <mergeCell ref="F8:G8"/>
    <mergeCell ref="H8:I8"/>
    <mergeCell ref="J8:K8"/>
    <mergeCell ref="L8:M8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F25:G25"/>
    <mergeCell ref="D27:E27"/>
    <mergeCell ref="D28:E28"/>
    <mergeCell ref="D29:E29"/>
    <mergeCell ref="D30:E30"/>
    <mergeCell ref="D31:E31"/>
    <mergeCell ref="D22:E22"/>
    <mergeCell ref="F32:G32"/>
    <mergeCell ref="F33:G33"/>
    <mergeCell ref="F34:G34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F27:G27"/>
    <mergeCell ref="F28:G28"/>
    <mergeCell ref="F29:G29"/>
    <mergeCell ref="F30:G30"/>
    <mergeCell ref="F31:G31"/>
    <mergeCell ref="F22:G22"/>
    <mergeCell ref="F23:G23"/>
    <mergeCell ref="F24:G24"/>
    <mergeCell ref="H27:I27"/>
    <mergeCell ref="H28:I28"/>
    <mergeCell ref="H29:I29"/>
    <mergeCell ref="H30:I30"/>
    <mergeCell ref="H31:I31"/>
    <mergeCell ref="H22:I22"/>
    <mergeCell ref="H23:I23"/>
    <mergeCell ref="H24:I24"/>
    <mergeCell ref="H25:I25"/>
    <mergeCell ref="H26:I26"/>
    <mergeCell ref="F19:G19"/>
    <mergeCell ref="F20:G20"/>
    <mergeCell ref="F21:G21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L19:M19"/>
    <mergeCell ref="L20:M20"/>
    <mergeCell ref="L21:M21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19:K19"/>
    <mergeCell ref="J20:K20"/>
    <mergeCell ref="J21:K21"/>
    <mergeCell ref="L27:M27"/>
    <mergeCell ref="L28:M28"/>
    <mergeCell ref="L29:M29"/>
    <mergeCell ref="L30:M30"/>
    <mergeCell ref="L31:M31"/>
    <mergeCell ref="L22:M22"/>
    <mergeCell ref="L23:M23"/>
    <mergeCell ref="L24:M24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25:M25"/>
    <mergeCell ref="L26:M26"/>
    <mergeCell ref="N7:O8"/>
    <mergeCell ref="N27:O27"/>
    <mergeCell ref="N28:O28"/>
    <mergeCell ref="N29:O29"/>
    <mergeCell ref="N30:O30"/>
    <mergeCell ref="N31:O31"/>
    <mergeCell ref="N22:O22"/>
    <mergeCell ref="N23:O23"/>
    <mergeCell ref="N24:O24"/>
    <mergeCell ref="N25:O25"/>
    <mergeCell ref="N26:O26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9:O9"/>
    <mergeCell ref="D45:E45"/>
    <mergeCell ref="F45:G45"/>
    <mergeCell ref="H45:I45"/>
    <mergeCell ref="J45:K45"/>
    <mergeCell ref="D46:E46"/>
    <mergeCell ref="F46:G46"/>
    <mergeCell ref="H46:I46"/>
    <mergeCell ref="J46:K46"/>
    <mergeCell ref="N32:O32"/>
    <mergeCell ref="N33:O33"/>
    <mergeCell ref="N34:O34"/>
    <mergeCell ref="N35:O35"/>
    <mergeCell ref="L32:M32"/>
    <mergeCell ref="L33:M33"/>
    <mergeCell ref="L34:M34"/>
    <mergeCell ref="L35:M35"/>
    <mergeCell ref="J32:K32"/>
    <mergeCell ref="J33:K33"/>
    <mergeCell ref="J34:K34"/>
    <mergeCell ref="J35:K35"/>
    <mergeCell ref="H32:I32"/>
    <mergeCell ref="H33:I33"/>
    <mergeCell ref="H34:I34"/>
    <mergeCell ref="H35:I35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  <mergeCell ref="D35:E35"/>
    <mergeCell ref="F35:G35"/>
    <mergeCell ref="D71:E71"/>
    <mergeCell ref="D62:E62"/>
    <mergeCell ref="D63:E63"/>
    <mergeCell ref="D64:E64"/>
    <mergeCell ref="D65:E65"/>
    <mergeCell ref="D66:E66"/>
    <mergeCell ref="D57:E57"/>
    <mergeCell ref="D58:E58"/>
    <mergeCell ref="D59:E59"/>
    <mergeCell ref="D60:E60"/>
    <mergeCell ref="D61:E61"/>
    <mergeCell ref="F63:G63"/>
    <mergeCell ref="F64:G64"/>
    <mergeCell ref="F65:G65"/>
    <mergeCell ref="F66:G66"/>
    <mergeCell ref="D72:E72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D67:E67"/>
    <mergeCell ref="D68:E68"/>
    <mergeCell ref="D69:E69"/>
    <mergeCell ref="D70:E70"/>
    <mergeCell ref="H65:I65"/>
    <mergeCell ref="H66:I66"/>
    <mergeCell ref="F72:G72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F67:G67"/>
    <mergeCell ref="F68:G68"/>
    <mergeCell ref="F69:G69"/>
    <mergeCell ref="F70:G70"/>
    <mergeCell ref="F71:G71"/>
    <mergeCell ref="F62:G62"/>
    <mergeCell ref="H72:I72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H67:I67"/>
    <mergeCell ref="H68:I68"/>
    <mergeCell ref="H69:I69"/>
    <mergeCell ref="H70:I70"/>
    <mergeCell ref="H71:I71"/>
    <mergeCell ref="H62:I62"/>
    <mergeCell ref="H63:I63"/>
    <mergeCell ref="H64:I64"/>
    <mergeCell ref="J72:K72"/>
    <mergeCell ref="J74:K74"/>
    <mergeCell ref="N37:O37"/>
    <mergeCell ref="J67:K67"/>
    <mergeCell ref="J68:K68"/>
    <mergeCell ref="J69:K69"/>
    <mergeCell ref="J70:K70"/>
    <mergeCell ref="J71:K71"/>
    <mergeCell ref="J62:K62"/>
    <mergeCell ref="J63:K63"/>
    <mergeCell ref="J64:K64"/>
    <mergeCell ref="J65:K65"/>
    <mergeCell ref="J66:K66"/>
  </mergeCells>
  <pageMargins left="1.4566929133858268" right="0.51181102362204722" top="1.1811023622047245" bottom="0.78740157480314965" header="0.31496062992125984" footer="0.31496062992125984"/>
  <pageSetup paperSize="9" scale="55" fitToHeight="2" orientation="landscape" r:id="rId1"/>
  <rowBreaks count="1" manualBreakCount="1">
    <brk id="40" min="1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Y146"/>
  <sheetViews>
    <sheetView topLeftCell="G1" zoomScale="85" zoomScaleNormal="85" workbookViewId="0">
      <selection activeCell="F67" sqref="F67"/>
    </sheetView>
  </sheetViews>
  <sheetFormatPr defaultRowHeight="15"/>
  <cols>
    <col min="4" max="4" width="40.7109375" bestFit="1" customWidth="1"/>
    <col min="5" max="7" width="21.7109375" customWidth="1"/>
    <col min="8" max="8" width="24.7109375" bestFit="1" customWidth="1"/>
    <col min="9" max="9" width="21.7109375" customWidth="1"/>
    <col min="10" max="10" width="15.7109375" customWidth="1"/>
    <col min="11" max="11" width="11.28515625" style="1" customWidth="1"/>
    <col min="12" max="12" width="37.42578125" bestFit="1" customWidth="1"/>
    <col min="13" max="13" width="13.5703125" customWidth="1"/>
    <col min="14" max="14" width="16.85546875" customWidth="1"/>
    <col min="15" max="15" width="13.5703125" customWidth="1"/>
    <col min="16" max="16" width="14.7109375" bestFit="1" customWidth="1"/>
    <col min="17" max="17" width="16" bestFit="1" customWidth="1"/>
    <col min="18" max="18" width="14.7109375" bestFit="1" customWidth="1"/>
    <col min="19" max="20" width="14.7109375" style="1" customWidth="1"/>
    <col min="21" max="22" width="14.5703125" customWidth="1"/>
  </cols>
  <sheetData>
    <row r="2" spans="2:25" s="1" customFormat="1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2:25" s="1" customFormat="1" ht="17.25">
      <c r="B3" s="18"/>
      <c r="C3" s="18"/>
      <c r="D3" s="193" t="s">
        <v>97</v>
      </c>
      <c r="E3" s="193"/>
      <c r="F3" s="193"/>
      <c r="G3" s="193"/>
      <c r="H3" s="193"/>
      <c r="I3" s="193"/>
      <c r="J3" s="12"/>
      <c r="K3" s="12"/>
      <c r="L3" s="12"/>
      <c r="M3" s="12"/>
      <c r="N3" s="12"/>
      <c r="O3" s="18"/>
      <c r="P3" s="18"/>
      <c r="Q3" s="18"/>
      <c r="R3" s="18"/>
      <c r="S3" s="18"/>
      <c r="T3" s="18"/>
      <c r="U3" s="18"/>
      <c r="V3" s="18"/>
    </row>
    <row r="4" spans="2: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2:25" s="1" customFormat="1" ht="15.75">
      <c r="B5" s="18"/>
      <c r="C5" s="282" t="s">
        <v>98</v>
      </c>
      <c r="D5" s="282"/>
      <c r="E5" s="282"/>
      <c r="F5" s="282"/>
      <c r="G5" s="282"/>
      <c r="H5" s="282"/>
      <c r="I5" s="282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2:25" s="1" customFormat="1" ht="15.75">
      <c r="B6" s="18"/>
      <c r="C6" s="16"/>
      <c r="D6" s="16"/>
      <c r="E6" s="16"/>
      <c r="F6" s="16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Y6" s="90"/>
    </row>
    <row r="7" spans="2:25" s="1" customFormat="1">
      <c r="B7" s="18"/>
      <c r="C7" s="36"/>
      <c r="D7" s="36"/>
      <c r="E7" s="36"/>
      <c r="F7" s="36"/>
      <c r="G7" s="36"/>
      <c r="H7" s="36"/>
      <c r="I7" s="36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2:25" s="1" customFormat="1" ht="17.25">
      <c r="B8" s="18"/>
      <c r="C8" s="18"/>
      <c r="D8" s="193" t="s">
        <v>81</v>
      </c>
      <c r="E8" s="193"/>
      <c r="F8" s="193"/>
      <c r="G8" s="193"/>
      <c r="H8" s="193"/>
      <c r="I8" s="193"/>
      <c r="J8" s="18"/>
      <c r="K8" s="18"/>
      <c r="L8" s="193" t="s">
        <v>99</v>
      </c>
      <c r="M8" s="193"/>
      <c r="N8" s="193"/>
      <c r="O8" s="193"/>
      <c r="P8" s="193"/>
      <c r="Q8" s="193"/>
      <c r="R8" s="193"/>
      <c r="S8" s="193"/>
      <c r="T8" s="193"/>
      <c r="U8" s="193"/>
      <c r="V8" s="193"/>
    </row>
    <row r="9" spans="2:2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2:25" ht="26.25" customHeight="1">
      <c r="B10" s="18"/>
      <c r="C10" s="280"/>
      <c r="D10" s="283" t="s">
        <v>0</v>
      </c>
      <c r="E10" s="283" t="s">
        <v>25</v>
      </c>
      <c r="F10" s="175" t="s">
        <v>33</v>
      </c>
      <c r="G10" s="175"/>
      <c r="H10" s="175" t="s">
        <v>34</v>
      </c>
      <c r="I10" s="175"/>
      <c r="J10" s="18"/>
      <c r="K10" s="281" t="s">
        <v>4</v>
      </c>
      <c r="L10" s="231" t="s">
        <v>0</v>
      </c>
      <c r="M10" s="233" t="s">
        <v>57</v>
      </c>
      <c r="N10" s="234"/>
      <c r="O10" s="233" t="s">
        <v>62</v>
      </c>
      <c r="P10" s="234"/>
      <c r="Q10" s="233" t="s">
        <v>63</v>
      </c>
      <c r="R10" s="234"/>
      <c r="S10" s="233" t="s">
        <v>109</v>
      </c>
      <c r="T10" s="234"/>
      <c r="U10" s="219" t="s">
        <v>46</v>
      </c>
      <c r="V10" s="220"/>
    </row>
    <row r="11" spans="2:25" ht="29.25" customHeight="1">
      <c r="B11" s="18"/>
      <c r="C11" s="280"/>
      <c r="D11" s="283"/>
      <c r="E11" s="283"/>
      <c r="F11" s="145" t="s">
        <v>32</v>
      </c>
      <c r="G11" s="146"/>
      <c r="H11" s="145" t="s">
        <v>32</v>
      </c>
      <c r="I11" s="146"/>
      <c r="J11" s="18"/>
      <c r="K11" s="281"/>
      <c r="L11" s="232"/>
      <c r="M11" s="233" t="s">
        <v>32</v>
      </c>
      <c r="N11" s="234"/>
      <c r="O11" s="233" t="s">
        <v>32</v>
      </c>
      <c r="P11" s="234"/>
      <c r="Q11" s="233" t="s">
        <v>32</v>
      </c>
      <c r="R11" s="234"/>
      <c r="S11" s="233" t="s">
        <v>32</v>
      </c>
      <c r="T11" s="234"/>
      <c r="U11" s="219" t="s">
        <v>32</v>
      </c>
      <c r="V11" s="220"/>
    </row>
    <row r="12" spans="2:25" ht="18" customHeight="1">
      <c r="B12" s="18"/>
      <c r="C12" s="41">
        <v>1</v>
      </c>
      <c r="D12" s="43" t="s">
        <v>49</v>
      </c>
      <c r="E12" s="44">
        <v>3010.99</v>
      </c>
      <c r="F12" s="278" t="e">
        <f>F$74</f>
        <v>#VALUE!</v>
      </c>
      <c r="G12" s="279"/>
      <c r="H12" s="250" t="e">
        <f>F12*E12</f>
        <v>#VALUE!</v>
      </c>
      <c r="I12" s="251"/>
      <c r="J12" s="18"/>
      <c r="K12" s="41">
        <v>1</v>
      </c>
      <c r="L12" s="43" t="s">
        <v>49</v>
      </c>
      <c r="M12" s="241" t="e">
        <f t="shared" ref="M12:M20" si="0">H12</f>
        <v>#VALUE!</v>
      </c>
      <c r="N12" s="242"/>
      <c r="O12" s="241" t="e">
        <f t="shared" ref="O12:O18" si="1">H29</f>
        <v>#VALUE!</v>
      </c>
      <c r="P12" s="242"/>
      <c r="Q12" s="241">
        <v>0</v>
      </c>
      <c r="R12" s="242"/>
      <c r="S12" s="243" t="e">
        <f>I54</f>
        <v>#VALUE!</v>
      </c>
      <c r="T12" s="244"/>
      <c r="U12" s="239" t="e">
        <f>Q12+O12+M12+S12</f>
        <v>#VALUE!</v>
      </c>
      <c r="V12" s="240"/>
    </row>
    <row r="13" spans="2:25" ht="18" customHeight="1">
      <c r="B13" s="18"/>
      <c r="C13" s="41">
        <v>2</v>
      </c>
      <c r="D13" s="43" t="s">
        <v>50</v>
      </c>
      <c r="E13" s="44">
        <v>1061.57</v>
      </c>
      <c r="F13" s="278" t="e">
        <f>F$74</f>
        <v>#VALUE!</v>
      </c>
      <c r="G13" s="279"/>
      <c r="H13" s="250" t="e">
        <f t="shared" ref="H13:H15" si="2">F13*E13</f>
        <v>#VALUE!</v>
      </c>
      <c r="I13" s="251"/>
      <c r="J13" s="18"/>
      <c r="K13" s="41">
        <v>2</v>
      </c>
      <c r="L13" s="43" t="s">
        <v>50</v>
      </c>
      <c r="M13" s="241" t="e">
        <f t="shared" si="0"/>
        <v>#VALUE!</v>
      </c>
      <c r="N13" s="242"/>
      <c r="O13" s="241" t="e">
        <f t="shared" si="1"/>
        <v>#VALUE!</v>
      </c>
      <c r="P13" s="242"/>
      <c r="Q13" s="241">
        <v>0</v>
      </c>
      <c r="R13" s="242"/>
      <c r="S13" s="245"/>
      <c r="T13" s="246"/>
      <c r="U13" s="249" t="e">
        <f t="shared" ref="U13:U20" si="3">Q13+O13+M13</f>
        <v>#VALUE!</v>
      </c>
      <c r="V13" s="240"/>
    </row>
    <row r="14" spans="2:25" ht="18" customHeight="1">
      <c r="B14" s="18"/>
      <c r="C14" s="41">
        <v>3</v>
      </c>
      <c r="D14" s="43" t="s">
        <v>51</v>
      </c>
      <c r="E14" s="44">
        <v>440.58</v>
      </c>
      <c r="F14" s="278" t="e">
        <f>F$74</f>
        <v>#VALUE!</v>
      </c>
      <c r="G14" s="279"/>
      <c r="H14" s="250" t="e">
        <f t="shared" si="2"/>
        <v>#VALUE!</v>
      </c>
      <c r="I14" s="251"/>
      <c r="J14" s="18"/>
      <c r="K14" s="41">
        <v>3</v>
      </c>
      <c r="L14" s="43" t="s">
        <v>51</v>
      </c>
      <c r="M14" s="241" t="e">
        <f t="shared" si="0"/>
        <v>#VALUE!</v>
      </c>
      <c r="N14" s="242"/>
      <c r="O14" s="241" t="e">
        <f t="shared" si="1"/>
        <v>#VALUE!</v>
      </c>
      <c r="P14" s="242"/>
      <c r="Q14" s="241">
        <v>0</v>
      </c>
      <c r="R14" s="242"/>
      <c r="S14" s="245"/>
      <c r="T14" s="246"/>
      <c r="U14" s="249" t="e">
        <f t="shared" si="3"/>
        <v>#VALUE!</v>
      </c>
      <c r="V14" s="240"/>
    </row>
    <row r="15" spans="2:25" ht="18" customHeight="1">
      <c r="B15" s="18"/>
      <c r="C15" s="41">
        <v>4</v>
      </c>
      <c r="D15" s="43" t="s">
        <v>52</v>
      </c>
      <c r="E15" s="44">
        <v>2015.31</v>
      </c>
      <c r="F15" s="278" t="e">
        <f>F$74</f>
        <v>#VALUE!</v>
      </c>
      <c r="G15" s="279"/>
      <c r="H15" s="250" t="e">
        <f t="shared" si="2"/>
        <v>#VALUE!</v>
      </c>
      <c r="I15" s="251"/>
      <c r="J15" s="18"/>
      <c r="K15" s="41">
        <v>4</v>
      </c>
      <c r="L15" s="43" t="s">
        <v>52</v>
      </c>
      <c r="M15" s="241" t="e">
        <f t="shared" si="0"/>
        <v>#VALUE!</v>
      </c>
      <c r="N15" s="242"/>
      <c r="O15" s="241" t="e">
        <f t="shared" si="1"/>
        <v>#VALUE!</v>
      </c>
      <c r="P15" s="242"/>
      <c r="Q15" s="241">
        <v>0</v>
      </c>
      <c r="R15" s="242"/>
      <c r="S15" s="245"/>
      <c r="T15" s="246"/>
      <c r="U15" s="249" t="e">
        <f t="shared" si="3"/>
        <v>#VALUE!</v>
      </c>
      <c r="V15" s="240"/>
    </row>
    <row r="16" spans="2:25" ht="18" customHeight="1">
      <c r="B16" s="18"/>
      <c r="C16" s="41">
        <v>5</v>
      </c>
      <c r="D16" s="43" t="s">
        <v>58</v>
      </c>
      <c r="E16" s="44">
        <f>8010.24</f>
        <v>8010.24</v>
      </c>
      <c r="F16" s="278" t="e">
        <f>F84</f>
        <v>#VALUE!</v>
      </c>
      <c r="G16" s="279"/>
      <c r="H16" s="250" t="e">
        <f>F16*E16</f>
        <v>#VALUE!</v>
      </c>
      <c r="I16" s="251"/>
      <c r="J16" s="18"/>
      <c r="K16" s="41">
        <v>5</v>
      </c>
      <c r="L16" s="43" t="s">
        <v>58</v>
      </c>
      <c r="M16" s="241" t="e">
        <f t="shared" si="0"/>
        <v>#VALUE!</v>
      </c>
      <c r="N16" s="242"/>
      <c r="O16" s="241" t="e">
        <f t="shared" si="1"/>
        <v>#VALUE!</v>
      </c>
      <c r="P16" s="242"/>
      <c r="Q16" s="241">
        <v>0</v>
      </c>
      <c r="R16" s="242"/>
      <c r="S16" s="245"/>
      <c r="T16" s="246"/>
      <c r="U16" s="249" t="e">
        <f t="shared" si="3"/>
        <v>#VALUE!</v>
      </c>
      <c r="V16" s="240"/>
    </row>
    <row r="17" spans="2:22" ht="18" customHeight="1">
      <c r="B17" s="18"/>
      <c r="C17" s="41">
        <v>6</v>
      </c>
      <c r="D17" s="43" t="s">
        <v>53</v>
      </c>
      <c r="E17" s="44">
        <v>7181.57</v>
      </c>
      <c r="F17" s="278" t="e">
        <f>I94</f>
        <v>#VALUE!</v>
      </c>
      <c r="G17" s="279"/>
      <c r="H17" s="250" t="e">
        <f>F17*E17</f>
        <v>#VALUE!</v>
      </c>
      <c r="I17" s="251"/>
      <c r="J17" s="18"/>
      <c r="K17" s="41">
        <v>6</v>
      </c>
      <c r="L17" s="43" t="s">
        <v>53</v>
      </c>
      <c r="M17" s="241" t="e">
        <f t="shared" si="0"/>
        <v>#VALUE!</v>
      </c>
      <c r="N17" s="242"/>
      <c r="O17" s="241" t="e">
        <f t="shared" si="1"/>
        <v>#VALUE!</v>
      </c>
      <c r="P17" s="242"/>
      <c r="Q17" s="241">
        <v>0</v>
      </c>
      <c r="R17" s="242"/>
      <c r="S17" s="245"/>
      <c r="T17" s="246"/>
      <c r="U17" s="249" t="e">
        <f t="shared" si="3"/>
        <v>#VALUE!</v>
      </c>
      <c r="V17" s="240"/>
    </row>
    <row r="18" spans="2:22" ht="18" customHeight="1">
      <c r="B18" s="18"/>
      <c r="C18" s="41">
        <v>7</v>
      </c>
      <c r="D18" s="43" t="s">
        <v>54</v>
      </c>
      <c r="E18" s="44">
        <v>2875.74</v>
      </c>
      <c r="F18" s="278" t="e">
        <f>F84</f>
        <v>#VALUE!</v>
      </c>
      <c r="G18" s="279"/>
      <c r="H18" s="250" t="e">
        <f>F18*E18</f>
        <v>#VALUE!</v>
      </c>
      <c r="I18" s="251"/>
      <c r="J18" s="18"/>
      <c r="K18" s="41">
        <v>7</v>
      </c>
      <c r="L18" s="43" t="s">
        <v>54</v>
      </c>
      <c r="M18" s="241" t="e">
        <f t="shared" si="0"/>
        <v>#VALUE!</v>
      </c>
      <c r="N18" s="242"/>
      <c r="O18" s="241" t="e">
        <f t="shared" si="1"/>
        <v>#VALUE!</v>
      </c>
      <c r="P18" s="242"/>
      <c r="Q18" s="241">
        <v>0</v>
      </c>
      <c r="R18" s="242"/>
      <c r="S18" s="245"/>
      <c r="T18" s="246"/>
      <c r="U18" s="249" t="e">
        <f t="shared" si="3"/>
        <v>#VALUE!</v>
      </c>
      <c r="V18" s="240"/>
    </row>
    <row r="19" spans="2:22" ht="18" customHeight="1">
      <c r="B19" s="18"/>
      <c r="C19" s="41">
        <v>8</v>
      </c>
      <c r="D19" s="43" t="s">
        <v>55</v>
      </c>
      <c r="E19" s="44">
        <v>40036.620000000003</v>
      </c>
      <c r="F19" s="278" t="e">
        <f>I105</f>
        <v>#VALUE!</v>
      </c>
      <c r="G19" s="279"/>
      <c r="H19" s="250" t="e">
        <f>F19*E19</f>
        <v>#VALUE!</v>
      </c>
      <c r="I19" s="251"/>
      <c r="J19" s="18"/>
      <c r="K19" s="41">
        <v>8</v>
      </c>
      <c r="L19" s="43" t="s">
        <v>224</v>
      </c>
      <c r="M19" s="241" t="e">
        <f t="shared" si="0"/>
        <v>#VALUE!</v>
      </c>
      <c r="N19" s="242"/>
      <c r="O19" s="241">
        <v>0</v>
      </c>
      <c r="P19" s="242"/>
      <c r="Q19" s="241" t="e">
        <f>H46</f>
        <v>#VALUE!</v>
      </c>
      <c r="R19" s="242"/>
      <c r="S19" s="245"/>
      <c r="T19" s="246"/>
      <c r="U19" s="249" t="e">
        <f t="shared" si="3"/>
        <v>#VALUE!</v>
      </c>
      <c r="V19" s="240"/>
    </row>
    <row r="20" spans="2:22" ht="18" customHeight="1">
      <c r="B20" s="18"/>
      <c r="C20" s="41">
        <v>9</v>
      </c>
      <c r="D20" s="43" t="s">
        <v>56</v>
      </c>
      <c r="E20" s="44">
        <v>5373.42</v>
      </c>
      <c r="F20" s="278" t="e">
        <f>I105</f>
        <v>#VALUE!</v>
      </c>
      <c r="G20" s="279"/>
      <c r="H20" s="250" t="e">
        <f>F20*E20</f>
        <v>#VALUE!</v>
      </c>
      <c r="I20" s="251"/>
      <c r="J20" s="18"/>
      <c r="K20" s="41">
        <v>9</v>
      </c>
      <c r="L20" s="43" t="s">
        <v>56</v>
      </c>
      <c r="M20" s="241" t="e">
        <f t="shared" si="0"/>
        <v>#VALUE!</v>
      </c>
      <c r="N20" s="242"/>
      <c r="O20" s="241">
        <v>0</v>
      </c>
      <c r="P20" s="242"/>
      <c r="Q20" s="241">
        <v>0</v>
      </c>
      <c r="R20" s="242"/>
      <c r="S20" s="247"/>
      <c r="T20" s="248"/>
      <c r="U20" s="249" t="e">
        <f t="shared" si="3"/>
        <v>#VALUE!</v>
      </c>
      <c r="V20" s="240"/>
    </row>
    <row r="21" spans="2:22" ht="18" customHeight="1">
      <c r="B21" s="18"/>
      <c r="C21" s="40"/>
      <c r="D21" s="45" t="s">
        <v>46</v>
      </c>
      <c r="E21" s="46">
        <f>SUM(E12:E20)</f>
        <v>70006.040000000008</v>
      </c>
      <c r="F21" s="252"/>
      <c r="G21" s="253"/>
      <c r="H21" s="252" t="e">
        <f>SUM(H12:I20)</f>
        <v>#VALUE!</v>
      </c>
      <c r="I21" s="253"/>
      <c r="J21" s="18"/>
      <c r="K21" s="18"/>
      <c r="L21" s="18"/>
      <c r="M21" s="18"/>
      <c r="N21" s="18"/>
      <c r="O21" s="18"/>
      <c r="Q21" s="18"/>
      <c r="R21" s="18"/>
      <c r="S21" s="237" t="s">
        <v>96</v>
      </c>
      <c r="T21" s="238"/>
      <c r="U21" s="235" t="e">
        <f>SUM(U12:V20)</f>
        <v>#VALUE!</v>
      </c>
      <c r="V21" s="236"/>
    </row>
    <row r="22" spans="2:22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2:22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2:22" s="1" customForma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2:22" s="1" customFormat="1" ht="17.25">
      <c r="B25" s="18"/>
      <c r="C25" s="18"/>
      <c r="D25" s="193" t="s">
        <v>90</v>
      </c>
      <c r="E25" s="193"/>
      <c r="F25" s="193"/>
      <c r="G25" s="193"/>
      <c r="H25" s="193"/>
      <c r="I25" s="193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2:22" s="1" customFormat="1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2:22" s="1" customFormat="1" ht="21.75" customHeight="1">
      <c r="B27" s="18"/>
      <c r="C27" s="280"/>
      <c r="D27" s="283" t="s">
        <v>0</v>
      </c>
      <c r="E27" s="283" t="s">
        <v>59</v>
      </c>
      <c r="F27" s="175" t="s">
        <v>33</v>
      </c>
      <c r="G27" s="175"/>
      <c r="H27" s="175" t="s">
        <v>34</v>
      </c>
      <c r="I27" s="175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2:22" s="1" customFormat="1" ht="21.75" customHeight="1">
      <c r="B28" s="18"/>
      <c r="C28" s="280"/>
      <c r="D28" s="283"/>
      <c r="E28" s="283"/>
      <c r="F28" s="145" t="s">
        <v>32</v>
      </c>
      <c r="G28" s="146"/>
      <c r="H28" s="145" t="s">
        <v>32</v>
      </c>
      <c r="I28" s="146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2:22" s="1" customFormat="1" ht="18" customHeight="1">
      <c r="B29" s="18"/>
      <c r="C29" s="41">
        <v>1</v>
      </c>
      <c r="D29" s="43" t="s">
        <v>49</v>
      </c>
      <c r="E29" s="47">
        <f>'[1]ÁREA ÚTIL'!$F$61*2</f>
        <v>288</v>
      </c>
      <c r="F29" s="254" t="e">
        <f t="shared" ref="F29:F35" si="4">I$126</f>
        <v>#VALUE!</v>
      </c>
      <c r="G29" s="255"/>
      <c r="H29" s="256" t="e">
        <f>F29*E29</f>
        <v>#VALUE!</v>
      </c>
      <c r="I29" s="257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2:22" s="1" customFormat="1" ht="18" customHeight="1">
      <c r="B30" s="18"/>
      <c r="C30" s="41">
        <v>2</v>
      </c>
      <c r="D30" s="43" t="s">
        <v>50</v>
      </c>
      <c r="E30" s="47">
        <f>'[1]ÁREA ÚTIL'!$F$62*2</f>
        <v>332</v>
      </c>
      <c r="F30" s="254" t="e">
        <f t="shared" si="4"/>
        <v>#VALUE!</v>
      </c>
      <c r="G30" s="255"/>
      <c r="H30" s="256" t="e">
        <f t="shared" ref="H30:H35" si="5">F30*E30</f>
        <v>#VALUE!</v>
      </c>
      <c r="I30" s="257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2:22" s="1" customFormat="1" ht="18" customHeight="1">
      <c r="B31" s="18"/>
      <c r="C31" s="41">
        <v>3</v>
      </c>
      <c r="D31" s="43" t="s">
        <v>51</v>
      </c>
      <c r="E31" s="47">
        <f>'[1]ÁREA ÚTIL'!$F$63*2</f>
        <v>32</v>
      </c>
      <c r="F31" s="254" t="e">
        <f t="shared" si="4"/>
        <v>#VALUE!</v>
      </c>
      <c r="G31" s="255"/>
      <c r="H31" s="256" t="e">
        <f t="shared" si="5"/>
        <v>#VALUE!</v>
      </c>
      <c r="I31" s="257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2:22" s="1" customFormat="1" ht="18" customHeight="1">
      <c r="B32" s="18"/>
      <c r="C32" s="41">
        <v>4</v>
      </c>
      <c r="D32" s="43" t="s">
        <v>52</v>
      </c>
      <c r="E32" s="47">
        <f>'[1]ÁREA ÚTIL'!$F$64*2</f>
        <v>1600</v>
      </c>
      <c r="F32" s="254" t="e">
        <f t="shared" si="4"/>
        <v>#VALUE!</v>
      </c>
      <c r="G32" s="255"/>
      <c r="H32" s="256" t="e">
        <f t="shared" si="5"/>
        <v>#VALUE!</v>
      </c>
      <c r="I32" s="257"/>
      <c r="J32" s="18"/>
      <c r="K32" s="18"/>
      <c r="L32" s="18"/>
      <c r="M32" s="92"/>
      <c r="N32" s="18"/>
      <c r="O32" s="18"/>
      <c r="P32" s="18"/>
      <c r="Q32" s="18"/>
      <c r="R32" s="18"/>
      <c r="S32" s="18"/>
      <c r="T32" s="18"/>
      <c r="U32" s="18"/>
      <c r="V32" s="18"/>
    </row>
    <row r="33" spans="2:22" s="1" customFormat="1" ht="18" customHeight="1">
      <c r="B33" s="18"/>
      <c r="C33" s="41">
        <v>5</v>
      </c>
      <c r="D33" s="43" t="s">
        <v>58</v>
      </c>
      <c r="E33" s="47">
        <f>'[1]ÁREA ÚTIL'!$F$65*2</f>
        <v>312</v>
      </c>
      <c r="F33" s="254" t="e">
        <f t="shared" si="4"/>
        <v>#VALUE!</v>
      </c>
      <c r="G33" s="255"/>
      <c r="H33" s="256" t="e">
        <f t="shared" si="5"/>
        <v>#VALUE!</v>
      </c>
      <c r="I33" s="25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2:22" s="1" customFormat="1" ht="18" customHeight="1">
      <c r="B34" s="18"/>
      <c r="C34" s="41">
        <v>6</v>
      </c>
      <c r="D34" s="43" t="s">
        <v>53</v>
      </c>
      <c r="E34" s="49">
        <f>'[1]ÁREA ÚTIL'!$F$66*2</f>
        <v>76</v>
      </c>
      <c r="F34" s="254" t="e">
        <f t="shared" si="4"/>
        <v>#VALUE!</v>
      </c>
      <c r="G34" s="255"/>
      <c r="H34" s="256" t="e">
        <f t="shared" si="5"/>
        <v>#VALUE!</v>
      </c>
      <c r="I34" s="257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2:22" s="1" customFormat="1" ht="18" customHeight="1">
      <c r="B35" s="18"/>
      <c r="C35" s="41">
        <v>7</v>
      </c>
      <c r="D35" s="43" t="s">
        <v>54</v>
      </c>
      <c r="E35" s="47">
        <f>'[1]ÁREA ÚTIL'!$F$67*2</f>
        <v>464</v>
      </c>
      <c r="F35" s="254" t="e">
        <f t="shared" si="4"/>
        <v>#VALUE!</v>
      </c>
      <c r="G35" s="255"/>
      <c r="H35" s="256" t="e">
        <f t="shared" si="5"/>
        <v>#VALUE!</v>
      </c>
      <c r="I35" s="257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2:22" s="1" customFormat="1" ht="18" customHeight="1">
      <c r="B36" s="18"/>
      <c r="C36" s="40"/>
      <c r="D36" s="45" t="s">
        <v>46</v>
      </c>
      <c r="E36" s="46">
        <f>SUM(E29:E35)</f>
        <v>3104</v>
      </c>
      <c r="F36" s="254"/>
      <c r="G36" s="255"/>
      <c r="H36" s="264" t="e">
        <f>SUM(H29:I35)</f>
        <v>#VALUE!</v>
      </c>
      <c r="I36" s="265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2:22" s="1" customFormat="1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</row>
    <row r="38" spans="2:22" s="1" customFormat="1" ht="1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</row>
    <row r="39" spans="2:22" s="1" customFormat="1" ht="17.25">
      <c r="B39" s="18"/>
      <c r="C39" s="18"/>
      <c r="D39" s="193" t="s">
        <v>89</v>
      </c>
      <c r="E39" s="193"/>
      <c r="F39" s="193"/>
      <c r="G39" s="193"/>
      <c r="H39" s="193"/>
      <c r="I39" s="193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</row>
    <row r="40" spans="2:22" s="1" customFormat="1" ht="15" customHeight="1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</row>
    <row r="41" spans="2:22" s="1" customFormat="1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</row>
    <row r="42" spans="2:22" s="1" customFormat="1" ht="20.25" customHeight="1">
      <c r="B42" s="18"/>
      <c r="C42" s="280"/>
      <c r="D42" s="283" t="s">
        <v>0</v>
      </c>
      <c r="E42" s="283" t="s">
        <v>60</v>
      </c>
      <c r="F42" s="175" t="s">
        <v>33</v>
      </c>
      <c r="G42" s="175"/>
      <c r="H42" s="175" t="s">
        <v>34</v>
      </c>
      <c r="I42" s="175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</row>
    <row r="43" spans="2:22" s="1" customFormat="1" ht="20.25" customHeight="1">
      <c r="B43" s="18"/>
      <c r="C43" s="280"/>
      <c r="D43" s="283"/>
      <c r="E43" s="283"/>
      <c r="F43" s="145" t="s">
        <v>32</v>
      </c>
      <c r="G43" s="146"/>
      <c r="H43" s="145" t="s">
        <v>32</v>
      </c>
      <c r="I43" s="146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</row>
    <row r="44" spans="2:22" s="1" customFormat="1" ht="18.75" customHeight="1">
      <c r="B44" s="18"/>
      <c r="C44" s="41">
        <v>1</v>
      </c>
      <c r="D44" s="43" t="s">
        <v>55</v>
      </c>
      <c r="E44" s="50">
        <v>324705.23</v>
      </c>
      <c r="F44" s="262" t="e">
        <f>I117</f>
        <v>#VALUE!</v>
      </c>
      <c r="G44" s="263"/>
      <c r="H44" s="256" t="e">
        <f>F44*E44</f>
        <v>#VALUE!</v>
      </c>
      <c r="I44" s="257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</row>
    <row r="45" spans="2:22" s="1" customFormat="1" ht="18.75" customHeight="1">
      <c r="B45" s="18"/>
      <c r="C45" s="41">
        <v>2</v>
      </c>
      <c r="D45" s="43" t="s">
        <v>186</v>
      </c>
      <c r="E45" s="50">
        <v>90318.32</v>
      </c>
      <c r="F45" s="262" t="e">
        <f>I117</f>
        <v>#VALUE!</v>
      </c>
      <c r="G45" s="263"/>
      <c r="H45" s="256" t="e">
        <f>F45*E45</f>
        <v>#VALUE!</v>
      </c>
      <c r="I45" s="257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spans="2:22" s="1" customFormat="1" ht="20.25" customHeight="1">
      <c r="B46" s="18"/>
      <c r="C46" s="40"/>
      <c r="D46" s="45" t="s">
        <v>46</v>
      </c>
      <c r="E46" s="46">
        <f>SUM(E44:E45)</f>
        <v>415023.55</v>
      </c>
      <c r="F46" s="262"/>
      <c r="G46" s="263"/>
      <c r="H46" s="264" t="e">
        <f>SUM(H44:I45)</f>
        <v>#VALUE!</v>
      </c>
      <c r="I46" s="265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spans="2:22" s="1" customFormat="1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</row>
    <row r="48" spans="2:22" s="1" customFormat="1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</row>
    <row r="49" spans="2:22" s="1" customFormat="1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</row>
    <row r="50" spans="2:22" s="1" customFormat="1" ht="17.25">
      <c r="B50" s="18"/>
      <c r="C50" s="18"/>
      <c r="D50" s="193" t="s">
        <v>216</v>
      </c>
      <c r="E50" s="193"/>
      <c r="F50" s="193"/>
      <c r="G50" s="193"/>
      <c r="H50" s="193"/>
      <c r="I50" s="193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</row>
    <row r="51" spans="2:22" s="1" customFormat="1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</row>
    <row r="52" spans="2:22" s="1" customFormat="1" ht="19.5" customHeight="1">
      <c r="B52" s="18"/>
      <c r="C52" s="174" t="s">
        <v>4</v>
      </c>
      <c r="D52" s="174" t="s">
        <v>0</v>
      </c>
      <c r="E52" s="176" t="s">
        <v>107</v>
      </c>
      <c r="F52" s="176" t="s">
        <v>108</v>
      </c>
      <c r="G52" s="145" t="s">
        <v>33</v>
      </c>
      <c r="H52" s="146"/>
      <c r="I52" s="145" t="s">
        <v>34</v>
      </c>
      <c r="J52" s="146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</row>
    <row r="53" spans="2:22" s="1" customFormat="1" ht="19.5" customHeight="1">
      <c r="B53" s="18"/>
      <c r="C53" s="174"/>
      <c r="D53" s="174"/>
      <c r="E53" s="177"/>
      <c r="F53" s="177"/>
      <c r="G53" s="145" t="s">
        <v>32</v>
      </c>
      <c r="H53" s="146"/>
      <c r="I53" s="145" t="s">
        <v>32</v>
      </c>
      <c r="J53" s="146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</row>
    <row r="54" spans="2:22" s="1" customFormat="1" ht="18.75" customHeight="1">
      <c r="B54" s="18"/>
      <c r="C54" s="41">
        <v>1</v>
      </c>
      <c r="D54" s="52" t="s">
        <v>184</v>
      </c>
      <c r="E54" s="40">
        <v>48</v>
      </c>
      <c r="F54" s="48">
        <f>Banheiros!P8</f>
        <v>599.75849999999991</v>
      </c>
      <c r="G54" s="258" t="e">
        <f>F64</f>
        <v>#VALUE!</v>
      </c>
      <c r="H54" s="259"/>
      <c r="I54" s="260" t="e">
        <f>F54*G54</f>
        <v>#VALUE!</v>
      </c>
      <c r="J54" s="261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</row>
    <row r="55" spans="2:22" s="1" customFormat="1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</row>
    <row r="56" spans="2:22" s="1" customFormat="1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</row>
    <row r="57" spans="2:22" s="1" customFormat="1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</row>
    <row r="58" spans="2:22" s="1" customFormat="1" ht="15.75">
      <c r="B58" s="18"/>
      <c r="C58" s="282" t="s">
        <v>199</v>
      </c>
      <c r="D58" s="282"/>
      <c r="E58" s="282"/>
      <c r="F58" s="282"/>
      <c r="G58" s="282"/>
      <c r="H58" s="282"/>
      <c r="I58" s="282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</row>
    <row r="59" spans="2:22" s="1" customFormat="1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2:22" s="1" customFormat="1">
      <c r="B60" s="18"/>
      <c r="C60" s="225" t="s">
        <v>216</v>
      </c>
      <c r="D60" s="225"/>
      <c r="E60" s="225"/>
      <c r="F60" s="225"/>
      <c r="G60" s="225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2:22" s="1" customFormat="1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pans="2:22" s="1" customFormat="1">
      <c r="B62" s="18"/>
      <c r="C62" s="18"/>
      <c r="D62" s="269" t="s">
        <v>28</v>
      </c>
      <c r="E62" s="184" t="s">
        <v>29</v>
      </c>
      <c r="F62" s="185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</row>
    <row r="63" spans="2:22" s="1" customFormat="1">
      <c r="B63" s="18"/>
      <c r="C63" s="18"/>
      <c r="D63" s="270"/>
      <c r="E63" s="186" t="s">
        <v>222</v>
      </c>
      <c r="F63" s="187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</row>
    <row r="64" spans="2:22" s="1" customFormat="1">
      <c r="B64" s="18"/>
      <c r="C64" s="18"/>
      <c r="D64" s="269" t="s">
        <v>32</v>
      </c>
      <c r="E64" s="6" t="s">
        <v>31</v>
      </c>
      <c r="F64" s="170" t="e">
        <f>1/E65</f>
        <v>#VALUE!</v>
      </c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</row>
    <row r="65" spans="2:22" s="1" customFormat="1">
      <c r="B65" s="18"/>
      <c r="C65" s="18"/>
      <c r="D65" s="270"/>
      <c r="E65" s="125" t="s">
        <v>220</v>
      </c>
      <c r="F65" s="171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</row>
    <row r="66" spans="2:22" s="1" customFormat="1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</row>
    <row r="67" spans="2:22" s="1" customFormat="1"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</row>
    <row r="68" spans="2:22" s="1" customFormat="1"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</row>
    <row r="69" spans="2:22">
      <c r="B69" s="18"/>
      <c r="C69" s="18"/>
      <c r="D69" s="225" t="s">
        <v>217</v>
      </c>
      <c r="E69" s="225"/>
      <c r="F69" s="225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</row>
    <row r="70" spans="2:22"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</row>
    <row r="71" spans="2:22">
      <c r="B71" s="18"/>
      <c r="C71" s="18"/>
      <c r="D71" s="9"/>
      <c r="E71" s="149" t="s">
        <v>57</v>
      </c>
      <c r="F71" s="149"/>
      <c r="G71" s="18"/>
      <c r="H71" s="18"/>
      <c r="I71" s="51"/>
      <c r="J71" s="51"/>
      <c r="K71" s="51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</row>
    <row r="72" spans="2:22">
      <c r="B72" s="18"/>
      <c r="C72" s="18"/>
      <c r="D72" s="269" t="s">
        <v>28</v>
      </c>
      <c r="E72" s="184" t="s">
        <v>29</v>
      </c>
      <c r="F72" s="185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</row>
    <row r="73" spans="2:22">
      <c r="B73" s="18"/>
      <c r="C73" s="18"/>
      <c r="D73" s="270"/>
      <c r="E73" s="186" t="s">
        <v>222</v>
      </c>
      <c r="F73" s="187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</row>
    <row r="74" spans="2:22">
      <c r="B74" s="18"/>
      <c r="C74" s="18"/>
      <c r="D74" s="269" t="s">
        <v>32</v>
      </c>
      <c r="E74" s="6" t="s">
        <v>31</v>
      </c>
      <c r="F74" s="170" t="e">
        <f>1/E75</f>
        <v>#VALUE!</v>
      </c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</row>
    <row r="75" spans="2:22" ht="21" customHeight="1">
      <c r="B75" s="18"/>
      <c r="C75" s="18"/>
      <c r="D75" s="270"/>
      <c r="E75" s="125" t="s">
        <v>220</v>
      </c>
      <c r="F75" s="171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</row>
    <row r="76" spans="2:22"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</row>
    <row r="77" spans="2:22"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</row>
    <row r="78" spans="2:22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</row>
    <row r="79" spans="2:22">
      <c r="B79" s="18"/>
      <c r="C79" s="18"/>
      <c r="D79" s="225" t="s">
        <v>218</v>
      </c>
      <c r="E79" s="225"/>
      <c r="F79" s="225"/>
      <c r="G79" s="51"/>
      <c r="H79" s="51"/>
      <c r="I79" s="51"/>
      <c r="J79" s="51"/>
      <c r="K79" s="51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</row>
    <row r="80" spans="2:22"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</row>
    <row r="81" spans="2:22">
      <c r="B81" s="18"/>
      <c r="C81" s="18"/>
      <c r="D81" s="9"/>
      <c r="E81" s="186" t="s">
        <v>57</v>
      </c>
      <c r="F81" s="273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</row>
    <row r="82" spans="2:22">
      <c r="B82" s="18"/>
      <c r="C82" s="18"/>
      <c r="D82" s="269" t="s">
        <v>28</v>
      </c>
      <c r="E82" s="271" t="s">
        <v>29</v>
      </c>
      <c r="F82" s="272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</row>
    <row r="83" spans="2:22">
      <c r="B83" s="18"/>
      <c r="C83" s="18"/>
      <c r="D83" s="270"/>
      <c r="E83" s="186" t="s">
        <v>222</v>
      </c>
      <c r="F83" s="187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</row>
    <row r="84" spans="2:22">
      <c r="B84" s="18"/>
      <c r="C84" s="18"/>
      <c r="D84" s="269" t="s">
        <v>32</v>
      </c>
      <c r="E84" s="6" t="s">
        <v>31</v>
      </c>
      <c r="F84" s="170" t="e">
        <f>1/E85</f>
        <v>#VALUE!</v>
      </c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</row>
    <row r="85" spans="2:22" ht="11.25" customHeight="1">
      <c r="B85" s="18"/>
      <c r="C85" s="18"/>
      <c r="D85" s="270"/>
      <c r="E85" s="125" t="s">
        <v>220</v>
      </c>
      <c r="F85" s="171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</row>
    <row r="86" spans="2:22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</row>
    <row r="87" spans="2:22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</row>
    <row r="88" spans="2:22"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</row>
    <row r="89" spans="2:22"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</row>
    <row r="90" spans="2:22">
      <c r="B90" s="18"/>
      <c r="C90" s="18"/>
      <c r="D90" s="225" t="s">
        <v>226</v>
      </c>
      <c r="E90" s="225"/>
      <c r="F90" s="225"/>
      <c r="G90" s="225"/>
      <c r="H90" s="225"/>
      <c r="I90" s="225"/>
      <c r="J90" s="14"/>
      <c r="K90" s="14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</row>
    <row r="91" spans="2:22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</row>
    <row r="92" spans="2:22">
      <c r="B92" s="18"/>
      <c r="C92" s="18"/>
      <c r="D92" s="269" t="s">
        <v>28</v>
      </c>
      <c r="E92" s="184" t="s">
        <v>29</v>
      </c>
      <c r="F92" s="185"/>
      <c r="G92" s="7" t="s">
        <v>35</v>
      </c>
      <c r="H92" s="7" t="s">
        <v>36</v>
      </c>
      <c r="I92" s="7" t="s">
        <v>37</v>
      </c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</row>
    <row r="93" spans="2:22" ht="25.5">
      <c r="B93" s="18"/>
      <c r="C93" s="18"/>
      <c r="D93" s="270"/>
      <c r="E93" s="186" t="s">
        <v>222</v>
      </c>
      <c r="F93" s="187"/>
      <c r="G93" s="126" t="s">
        <v>38</v>
      </c>
      <c r="H93" s="126" t="s">
        <v>39</v>
      </c>
      <c r="I93" s="126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</row>
    <row r="94" spans="2:22" ht="25.5" customHeight="1">
      <c r="B94" s="18"/>
      <c r="C94" s="18"/>
      <c r="D94" s="269" t="s">
        <v>32</v>
      </c>
      <c r="E94" s="6" t="s">
        <v>31</v>
      </c>
      <c r="F94" s="170" t="e">
        <f>1/E95</f>
        <v>#VALUE!</v>
      </c>
      <c r="G94" s="267">
        <v>16</v>
      </c>
      <c r="H94" s="274" t="s">
        <v>40</v>
      </c>
      <c r="I94" s="276" t="e">
        <f>F94*G94*H97</f>
        <v>#VALUE!</v>
      </c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</row>
    <row r="95" spans="2:22">
      <c r="B95" s="18"/>
      <c r="C95" s="18"/>
      <c r="D95" s="270"/>
      <c r="E95" s="125" t="s">
        <v>220</v>
      </c>
      <c r="F95" s="171"/>
      <c r="G95" s="268"/>
      <c r="H95" s="275"/>
      <c r="I95" s="277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2:22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</row>
    <row r="97" spans="2:22">
      <c r="B97" s="18"/>
      <c r="C97" s="18"/>
      <c r="D97" s="18"/>
      <c r="E97" s="18"/>
      <c r="F97" s="18"/>
      <c r="G97" s="18"/>
      <c r="H97" s="18">
        <f>1/191.4</f>
        <v>5.2246603970741903E-3</v>
      </c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</row>
    <row r="98" spans="2:22"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</row>
    <row r="99" spans="2:22"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</row>
    <row r="100" spans="2:22">
      <c r="B100" s="18"/>
      <c r="C100" s="18"/>
      <c r="D100" s="225" t="s">
        <v>225</v>
      </c>
      <c r="E100" s="225"/>
      <c r="F100" s="225"/>
      <c r="G100" s="225"/>
      <c r="H100" s="225"/>
      <c r="I100" s="225"/>
      <c r="J100" s="51"/>
      <c r="K100" s="51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</row>
    <row r="101" spans="2:22"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</row>
    <row r="102" spans="2:22"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</row>
    <row r="103" spans="2:22">
      <c r="B103" s="18"/>
      <c r="C103" s="18"/>
      <c r="D103" s="269" t="s">
        <v>28</v>
      </c>
      <c r="E103" s="184" t="s">
        <v>29</v>
      </c>
      <c r="F103" s="185"/>
      <c r="G103" s="7" t="s">
        <v>35</v>
      </c>
      <c r="H103" s="7" t="s">
        <v>36</v>
      </c>
      <c r="I103" s="7" t="s">
        <v>37</v>
      </c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</row>
    <row r="104" spans="2:22" ht="25.5">
      <c r="B104" s="18"/>
      <c r="C104" s="18"/>
      <c r="D104" s="270"/>
      <c r="E104" s="186" t="s">
        <v>222</v>
      </c>
      <c r="F104" s="187"/>
      <c r="G104" s="126" t="s">
        <v>38</v>
      </c>
      <c r="H104" s="126" t="s">
        <v>39</v>
      </c>
      <c r="I104" s="126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</row>
    <row r="105" spans="2:22">
      <c r="B105" s="18"/>
      <c r="C105" s="18"/>
      <c r="D105" s="269" t="s">
        <v>32</v>
      </c>
      <c r="E105" s="6" t="s">
        <v>31</v>
      </c>
      <c r="F105" s="170" t="e">
        <f>1/E106</f>
        <v>#VALUE!</v>
      </c>
      <c r="G105" s="267">
        <v>8</v>
      </c>
      <c r="H105" s="274" t="s">
        <v>40</v>
      </c>
      <c r="I105" s="276" t="e">
        <f>F105*G105*H108</f>
        <v>#VALUE!</v>
      </c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</row>
    <row r="106" spans="2:22">
      <c r="B106" s="18"/>
      <c r="C106" s="18"/>
      <c r="D106" s="270"/>
      <c r="E106" s="125" t="s">
        <v>220</v>
      </c>
      <c r="F106" s="171"/>
      <c r="G106" s="268"/>
      <c r="H106" s="275"/>
      <c r="I106" s="277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</row>
    <row r="107" spans="2:22"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</row>
    <row r="108" spans="2:22">
      <c r="B108" s="18"/>
      <c r="C108" s="18"/>
      <c r="D108" s="18"/>
      <c r="E108" s="18"/>
      <c r="F108" s="18"/>
      <c r="G108" s="18"/>
      <c r="H108" s="18">
        <f>1/191.4</f>
        <v>5.2246603970741903E-3</v>
      </c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</row>
    <row r="109" spans="2:22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</row>
    <row r="110" spans="2:22"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</row>
    <row r="111" spans="2:22"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</row>
    <row r="112" spans="2:22">
      <c r="B112" s="18"/>
      <c r="C112" s="18"/>
      <c r="D112" s="225" t="s">
        <v>75</v>
      </c>
      <c r="E112" s="225"/>
      <c r="F112" s="225"/>
      <c r="G112" s="225"/>
      <c r="H112" s="225"/>
      <c r="I112" s="225"/>
      <c r="J112" s="51"/>
      <c r="K112" s="51"/>
      <c r="L112" s="51"/>
      <c r="M112" s="51"/>
      <c r="N112" s="18"/>
      <c r="O112" s="18"/>
      <c r="P112" s="18"/>
      <c r="Q112" s="18"/>
      <c r="R112" s="18"/>
      <c r="S112" s="18"/>
      <c r="T112" s="18"/>
      <c r="U112" s="18"/>
      <c r="V112" s="18"/>
    </row>
    <row r="113" spans="2:22"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</row>
    <row r="114" spans="2:22">
      <c r="B114" s="18"/>
      <c r="C114" s="18"/>
      <c r="D114" s="9"/>
      <c r="E114" s="266" t="s">
        <v>57</v>
      </c>
      <c r="F114" s="266"/>
      <c r="G114" s="266"/>
      <c r="H114" s="266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</row>
    <row r="115" spans="2:22">
      <c r="B115" s="18"/>
      <c r="C115" s="18"/>
      <c r="D115" s="269" t="s">
        <v>28</v>
      </c>
      <c r="E115" s="184" t="s">
        <v>29</v>
      </c>
      <c r="F115" s="185"/>
      <c r="G115" s="7" t="s">
        <v>35</v>
      </c>
      <c r="H115" s="7" t="s">
        <v>36</v>
      </c>
      <c r="I115" s="7" t="s">
        <v>37</v>
      </c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</row>
    <row r="116" spans="2:22" ht="25.5">
      <c r="B116" s="18"/>
      <c r="C116" s="18"/>
      <c r="D116" s="270"/>
      <c r="E116" s="186" t="s">
        <v>222</v>
      </c>
      <c r="F116" s="187"/>
      <c r="G116" s="126" t="s">
        <v>38</v>
      </c>
      <c r="H116" s="126" t="s">
        <v>39</v>
      </c>
      <c r="I116" s="126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</row>
    <row r="117" spans="2:22">
      <c r="B117" s="18"/>
      <c r="C117" s="18"/>
      <c r="D117" s="269" t="s">
        <v>32</v>
      </c>
      <c r="E117" s="6" t="s">
        <v>31</v>
      </c>
      <c r="F117" s="170" t="e">
        <f>1/E118</f>
        <v>#VALUE!</v>
      </c>
      <c r="G117" s="267">
        <v>16</v>
      </c>
      <c r="H117" s="274" t="s">
        <v>40</v>
      </c>
      <c r="I117" s="276" t="e">
        <f>F117*G117*H120</f>
        <v>#VALUE!</v>
      </c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</row>
    <row r="118" spans="2:22">
      <c r="B118" s="18"/>
      <c r="C118" s="18"/>
      <c r="D118" s="270"/>
      <c r="E118" s="125" t="s">
        <v>220</v>
      </c>
      <c r="F118" s="171"/>
      <c r="G118" s="268"/>
      <c r="H118" s="275"/>
      <c r="I118" s="277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</row>
    <row r="119" spans="2:22"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</row>
    <row r="120" spans="2:22">
      <c r="B120" s="18"/>
      <c r="C120" s="18"/>
      <c r="D120" s="18"/>
      <c r="E120" s="18"/>
      <c r="F120" s="18"/>
      <c r="G120" s="18"/>
      <c r="H120" s="18">
        <f>1/191.4</f>
        <v>5.2246603970741903E-3</v>
      </c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</row>
    <row r="121" spans="2:22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</row>
    <row r="122" spans="2:22">
      <c r="B122" s="18"/>
      <c r="C122" s="18"/>
      <c r="D122" s="225" t="s">
        <v>223</v>
      </c>
      <c r="E122" s="225"/>
      <c r="F122" s="225"/>
      <c r="G122" s="225"/>
      <c r="H122" s="225"/>
      <c r="I122" s="225"/>
      <c r="J122" s="14"/>
      <c r="K122" s="14"/>
      <c r="L122" s="14"/>
      <c r="M122" s="18"/>
      <c r="N122" s="18"/>
      <c r="O122" s="18"/>
      <c r="P122" s="18"/>
      <c r="Q122" s="18"/>
      <c r="R122" s="18"/>
      <c r="S122" s="18"/>
      <c r="T122" s="18"/>
      <c r="U122" s="18"/>
      <c r="V122" s="18"/>
    </row>
    <row r="123" spans="2:22"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</row>
    <row r="124" spans="2:22">
      <c r="B124" s="18"/>
      <c r="C124" s="18"/>
      <c r="D124" s="269" t="s">
        <v>28</v>
      </c>
      <c r="E124" s="184" t="s">
        <v>29</v>
      </c>
      <c r="F124" s="185"/>
      <c r="G124" s="7" t="s">
        <v>35</v>
      </c>
      <c r="H124" s="7" t="s">
        <v>36</v>
      </c>
      <c r="I124" s="7" t="s">
        <v>37</v>
      </c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</row>
    <row r="125" spans="2:22" ht="25.5">
      <c r="B125" s="18"/>
      <c r="C125" s="18"/>
      <c r="D125" s="270"/>
      <c r="E125" s="186" t="s">
        <v>222</v>
      </c>
      <c r="F125" s="187"/>
      <c r="G125" s="126" t="s">
        <v>38</v>
      </c>
      <c r="H125" s="126" t="s">
        <v>39</v>
      </c>
      <c r="I125" s="126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</row>
    <row r="126" spans="2:22">
      <c r="B126" s="18"/>
      <c r="C126" s="18"/>
      <c r="D126" s="269" t="s">
        <v>32</v>
      </c>
      <c r="E126" s="6" t="s">
        <v>31</v>
      </c>
      <c r="F126" s="170" t="e">
        <f>1/E127</f>
        <v>#VALUE!</v>
      </c>
      <c r="G126" s="267">
        <v>16</v>
      </c>
      <c r="H126" s="274" t="s">
        <v>40</v>
      </c>
      <c r="I126" s="276" t="e">
        <f>F126*G126*H129</f>
        <v>#VALUE!</v>
      </c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</row>
    <row r="127" spans="2:22">
      <c r="B127" s="18"/>
      <c r="C127" s="18"/>
      <c r="D127" s="270"/>
      <c r="E127" s="125" t="s">
        <v>220</v>
      </c>
      <c r="F127" s="171"/>
      <c r="G127" s="268"/>
      <c r="H127" s="275"/>
      <c r="I127" s="277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</row>
    <row r="128" spans="2:22"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</row>
    <row r="129" spans="2:22">
      <c r="B129" s="18"/>
      <c r="C129" s="18"/>
      <c r="D129" s="18"/>
      <c r="E129" s="18"/>
      <c r="F129" s="18"/>
      <c r="G129" s="18"/>
      <c r="H129" s="18">
        <f>1/191.4</f>
        <v>5.2246603970741903E-3</v>
      </c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</row>
    <row r="130" spans="2:22"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</row>
    <row r="131" spans="2:2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</row>
    <row r="132" spans="2:22"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</row>
    <row r="133" spans="2:22"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</row>
    <row r="134" spans="2:22" ht="15" customHeight="1"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</row>
    <row r="135" spans="2:22"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</row>
    <row r="136" spans="2:22"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</row>
    <row r="137" spans="2:22"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</row>
    <row r="138" spans="2:22"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</row>
    <row r="139" spans="2:22"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</row>
    <row r="140" spans="2:22"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</row>
    <row r="141" spans="2:22"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</row>
    <row r="142" spans="2:22"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</row>
    <row r="143" spans="2:22"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</row>
    <row r="144" spans="2:22"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</row>
    <row r="145" spans="3:22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</row>
    <row r="146" spans="3:22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</row>
  </sheetData>
  <mergeCells count="189">
    <mergeCell ref="C10:C11"/>
    <mergeCell ref="C27:C28"/>
    <mergeCell ref="C42:C43"/>
    <mergeCell ref="K10:K11"/>
    <mergeCell ref="C5:I5"/>
    <mergeCell ref="D74:D75"/>
    <mergeCell ref="F74:F75"/>
    <mergeCell ref="D72:D73"/>
    <mergeCell ref="E72:F72"/>
    <mergeCell ref="E73:F73"/>
    <mergeCell ref="D10:D11"/>
    <mergeCell ref="E10:E11"/>
    <mergeCell ref="E27:E28"/>
    <mergeCell ref="E42:E43"/>
    <mergeCell ref="E71:F71"/>
    <mergeCell ref="D42:D43"/>
    <mergeCell ref="F42:G42"/>
    <mergeCell ref="D27:D28"/>
    <mergeCell ref="F27:G27"/>
    <mergeCell ref="H27:I27"/>
    <mergeCell ref="H42:I42"/>
    <mergeCell ref="C58:I58"/>
    <mergeCell ref="C52:C53"/>
    <mergeCell ref="D52:D53"/>
    <mergeCell ref="D126:D127"/>
    <mergeCell ref="F126:F127"/>
    <mergeCell ref="G126:G127"/>
    <mergeCell ref="H126:H127"/>
    <mergeCell ref="I126:I127"/>
    <mergeCell ref="D117:D118"/>
    <mergeCell ref="F117:F118"/>
    <mergeCell ref="D124:D125"/>
    <mergeCell ref="E124:F124"/>
    <mergeCell ref="E125:F125"/>
    <mergeCell ref="D122:I122"/>
    <mergeCell ref="G117:G118"/>
    <mergeCell ref="H117:H118"/>
    <mergeCell ref="I117:I118"/>
    <mergeCell ref="D3:I3"/>
    <mergeCell ref="D8:I8"/>
    <mergeCell ref="D25:I25"/>
    <mergeCell ref="H10:I10"/>
    <mergeCell ref="F10:G10"/>
    <mergeCell ref="F11:G11"/>
    <mergeCell ref="H11:I11"/>
    <mergeCell ref="F12:G12"/>
    <mergeCell ref="H12:I12"/>
    <mergeCell ref="F13:G13"/>
    <mergeCell ref="F14:G14"/>
    <mergeCell ref="F15:G15"/>
    <mergeCell ref="F16:G16"/>
    <mergeCell ref="F17:G17"/>
    <mergeCell ref="F18:G18"/>
    <mergeCell ref="F19:G19"/>
    <mergeCell ref="F20:G20"/>
    <mergeCell ref="H13:I13"/>
    <mergeCell ref="H14:I14"/>
    <mergeCell ref="H15:I15"/>
    <mergeCell ref="H16:I16"/>
    <mergeCell ref="H17:I17"/>
    <mergeCell ref="H18:I18"/>
    <mergeCell ref="H19:I19"/>
    <mergeCell ref="E116:F116"/>
    <mergeCell ref="D112:I112"/>
    <mergeCell ref="H94:H95"/>
    <mergeCell ref="I94:I95"/>
    <mergeCell ref="D105:D106"/>
    <mergeCell ref="F105:F106"/>
    <mergeCell ref="G105:G106"/>
    <mergeCell ref="H105:H106"/>
    <mergeCell ref="I105:I106"/>
    <mergeCell ref="D103:D104"/>
    <mergeCell ref="E103:F103"/>
    <mergeCell ref="E104:F104"/>
    <mergeCell ref="D94:D95"/>
    <mergeCell ref="F94:F95"/>
    <mergeCell ref="D115:D116"/>
    <mergeCell ref="E115:F115"/>
    <mergeCell ref="C60:G60"/>
    <mergeCell ref="D69:F69"/>
    <mergeCell ref="D79:F79"/>
    <mergeCell ref="E114:H114"/>
    <mergeCell ref="D90:I90"/>
    <mergeCell ref="G94:G95"/>
    <mergeCell ref="D100:I100"/>
    <mergeCell ref="D92:D93"/>
    <mergeCell ref="E92:F92"/>
    <mergeCell ref="E93:F93"/>
    <mergeCell ref="D82:D83"/>
    <mergeCell ref="E82:F82"/>
    <mergeCell ref="E83:F83"/>
    <mergeCell ref="E81:F81"/>
    <mergeCell ref="D84:D85"/>
    <mergeCell ref="F84:F85"/>
    <mergeCell ref="D64:D65"/>
    <mergeCell ref="F64:F65"/>
    <mergeCell ref="D62:D63"/>
    <mergeCell ref="E62:F62"/>
    <mergeCell ref="E63:F63"/>
    <mergeCell ref="F43:G43"/>
    <mergeCell ref="H43:I43"/>
    <mergeCell ref="G53:H53"/>
    <mergeCell ref="I53:J53"/>
    <mergeCell ref="G54:H54"/>
    <mergeCell ref="I54:J54"/>
    <mergeCell ref="H44:I44"/>
    <mergeCell ref="F44:G44"/>
    <mergeCell ref="F36:G36"/>
    <mergeCell ref="H36:I36"/>
    <mergeCell ref="F45:G45"/>
    <mergeCell ref="F46:G46"/>
    <mergeCell ref="H45:I45"/>
    <mergeCell ref="H46:I46"/>
    <mergeCell ref="D39:I39"/>
    <mergeCell ref="E52:E53"/>
    <mergeCell ref="D50:I50"/>
    <mergeCell ref="F52:F53"/>
    <mergeCell ref="G52:H52"/>
    <mergeCell ref="I52:J52"/>
    <mergeCell ref="Q12:R12"/>
    <mergeCell ref="O12:P12"/>
    <mergeCell ref="M12:N12"/>
    <mergeCell ref="M13:N13"/>
    <mergeCell ref="M14:N14"/>
    <mergeCell ref="M15:N15"/>
    <mergeCell ref="M16:N16"/>
    <mergeCell ref="M17:N17"/>
    <mergeCell ref="M18:N18"/>
    <mergeCell ref="Q13:R13"/>
    <mergeCell ref="Q14:R14"/>
    <mergeCell ref="Q15:R15"/>
    <mergeCell ref="Q16:R16"/>
    <mergeCell ref="Q17:R17"/>
    <mergeCell ref="Q18:R18"/>
    <mergeCell ref="U19:V19"/>
    <mergeCell ref="U20:V20"/>
    <mergeCell ref="M19:N19"/>
    <mergeCell ref="M20:N20"/>
    <mergeCell ref="O13:P13"/>
    <mergeCell ref="O14:P14"/>
    <mergeCell ref="O15:P15"/>
    <mergeCell ref="O16:P16"/>
    <mergeCell ref="O17:P17"/>
    <mergeCell ref="O18:P18"/>
    <mergeCell ref="O19:P19"/>
    <mergeCell ref="O20:P20"/>
    <mergeCell ref="H20:I20"/>
    <mergeCell ref="H21:I21"/>
    <mergeCell ref="F21:G21"/>
    <mergeCell ref="F30:G30"/>
    <mergeCell ref="F31:G31"/>
    <mergeCell ref="F32:G32"/>
    <mergeCell ref="F33:G33"/>
    <mergeCell ref="F34:G34"/>
    <mergeCell ref="F35:G35"/>
    <mergeCell ref="H30:I30"/>
    <mergeCell ref="H31:I31"/>
    <mergeCell ref="H32:I32"/>
    <mergeCell ref="H33:I33"/>
    <mergeCell ref="H34:I34"/>
    <mergeCell ref="H35:I35"/>
    <mergeCell ref="F28:G28"/>
    <mergeCell ref="F29:G29"/>
    <mergeCell ref="H28:I28"/>
    <mergeCell ref="H29:I29"/>
    <mergeCell ref="L10:L11"/>
    <mergeCell ref="U10:V10"/>
    <mergeCell ref="Q10:R10"/>
    <mergeCell ref="O10:P10"/>
    <mergeCell ref="M10:N10"/>
    <mergeCell ref="L8:V8"/>
    <mergeCell ref="U21:V21"/>
    <mergeCell ref="S21:T21"/>
    <mergeCell ref="U12:V12"/>
    <mergeCell ref="U11:V11"/>
    <mergeCell ref="S11:T11"/>
    <mergeCell ref="Q11:R11"/>
    <mergeCell ref="O11:P11"/>
    <mergeCell ref="M11:N11"/>
    <mergeCell ref="S10:T10"/>
    <mergeCell ref="Q19:R19"/>
    <mergeCell ref="Q20:R20"/>
    <mergeCell ref="S12:T20"/>
    <mergeCell ref="U13:V13"/>
    <mergeCell ref="U14:V14"/>
    <mergeCell ref="U15:V15"/>
    <mergeCell ref="U16:V16"/>
    <mergeCell ref="U17:V17"/>
    <mergeCell ref="U18:V18"/>
  </mergeCells>
  <pageMargins left="0.76" right="0.74803149606299213" top="2.19" bottom="0.6692913385826772" header="0.31496062992125984" footer="1.2204724409448819"/>
  <pageSetup paperSize="9" scale="59" orientation="landscape" r:id="rId1"/>
  <rowBreaks count="1" manualBreakCount="1">
    <brk id="56" min="2" max="21" man="1"/>
  </rowBreaks>
  <colBreaks count="1" manualBreakCount="1">
    <brk id="10" min="1" max="151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C3:J41"/>
  <sheetViews>
    <sheetView zoomScale="85" zoomScaleNormal="85" workbookViewId="0">
      <selection activeCell="F43" sqref="F43"/>
    </sheetView>
  </sheetViews>
  <sheetFormatPr defaultRowHeight="15"/>
  <cols>
    <col min="3" max="3" width="45.5703125" customWidth="1"/>
    <col min="4" max="4" width="21.7109375" customWidth="1"/>
    <col min="5" max="5" width="29" customWidth="1"/>
    <col min="6" max="6" width="20.7109375" customWidth="1"/>
    <col min="7" max="8" width="22.85546875" customWidth="1"/>
    <col min="9" max="9" width="19.5703125" customWidth="1"/>
    <col min="10" max="10" width="19.7109375" customWidth="1"/>
  </cols>
  <sheetData>
    <row r="3" spans="3:10">
      <c r="C3" s="18"/>
      <c r="D3" s="18"/>
      <c r="E3" s="18"/>
      <c r="F3" s="18"/>
      <c r="G3" s="18"/>
      <c r="H3" s="18"/>
      <c r="I3" s="18"/>
      <c r="J3" s="18"/>
    </row>
    <row r="4" spans="3:10">
      <c r="C4" s="18"/>
      <c r="D4" s="18"/>
      <c r="E4" s="18"/>
      <c r="F4" s="18"/>
      <c r="G4" s="18"/>
      <c r="H4" s="18"/>
      <c r="I4" s="18"/>
      <c r="J4" s="18"/>
    </row>
    <row r="5" spans="3:10" ht="17.25">
      <c r="C5" s="193" t="s">
        <v>195</v>
      </c>
      <c r="D5" s="193"/>
      <c r="E5" s="193"/>
      <c r="F5" s="193"/>
      <c r="G5" s="193"/>
      <c r="H5" s="193"/>
      <c r="I5" s="193"/>
      <c r="J5" s="193"/>
    </row>
    <row r="6" spans="3:10">
      <c r="C6" s="18"/>
      <c r="D6" s="18"/>
      <c r="E6" s="18"/>
      <c r="F6" s="18"/>
      <c r="G6" s="18"/>
      <c r="H6" s="18"/>
      <c r="I6" s="18"/>
      <c r="J6" s="18"/>
    </row>
    <row r="7" spans="3:10" s="1" customFormat="1">
      <c r="C7" s="18"/>
      <c r="D7" s="18"/>
      <c r="E7" s="18"/>
      <c r="F7" s="18"/>
      <c r="G7" s="18"/>
      <c r="H7" s="18"/>
      <c r="I7" s="18"/>
      <c r="J7" s="18"/>
    </row>
    <row r="8" spans="3:10">
      <c r="C8" s="225" t="s">
        <v>191</v>
      </c>
      <c r="D8" s="225"/>
      <c r="E8" s="225"/>
      <c r="F8" s="225"/>
      <c r="G8" s="225"/>
      <c r="H8" s="225"/>
      <c r="I8" s="225"/>
      <c r="J8" s="225"/>
    </row>
    <row r="9" spans="3:10" s="1" customFormat="1">
      <c r="C9" s="18"/>
      <c r="D9" s="18"/>
      <c r="E9" s="18"/>
      <c r="F9" s="18"/>
      <c r="G9" s="18"/>
      <c r="H9" s="18"/>
      <c r="I9" s="18"/>
      <c r="J9" s="18"/>
    </row>
    <row r="10" spans="3:10" ht="22.5" customHeight="1">
      <c r="C10" s="294" t="s">
        <v>48</v>
      </c>
      <c r="D10" s="294"/>
      <c r="E10" s="294"/>
      <c r="F10" s="294"/>
      <c r="G10" s="294"/>
      <c r="H10" s="294"/>
      <c r="I10" s="294"/>
      <c r="J10" s="294"/>
    </row>
    <row r="11" spans="3:10" s="1" customFormat="1" ht="22.5" customHeight="1">
      <c r="C11" s="290" t="s">
        <v>0</v>
      </c>
      <c r="D11" s="290" t="s">
        <v>25</v>
      </c>
      <c r="E11" s="290" t="s">
        <v>68</v>
      </c>
      <c r="F11" s="290" t="s">
        <v>66</v>
      </c>
      <c r="G11" s="145" t="s">
        <v>33</v>
      </c>
      <c r="H11" s="146"/>
      <c r="I11" s="288" t="s">
        <v>34</v>
      </c>
      <c r="J11" s="289"/>
    </row>
    <row r="12" spans="3:10" ht="22.5" customHeight="1">
      <c r="C12" s="291"/>
      <c r="D12" s="291"/>
      <c r="E12" s="291"/>
      <c r="F12" s="291"/>
      <c r="G12" s="145" t="s">
        <v>32</v>
      </c>
      <c r="H12" s="146"/>
      <c r="I12" s="288" t="s">
        <v>32</v>
      </c>
      <c r="J12" s="289"/>
    </row>
    <row r="13" spans="3:10" ht="26.25" customHeight="1">
      <c r="C13" s="54" t="s">
        <v>67</v>
      </c>
      <c r="D13" s="44">
        <v>227</v>
      </c>
      <c r="E13" s="52">
        <v>200</v>
      </c>
      <c r="F13" s="52">
        <f>D13*E13</f>
        <v>45400</v>
      </c>
      <c r="G13" s="284" t="e">
        <f>G40</f>
        <v>#VALUE!</v>
      </c>
      <c r="H13" s="285"/>
      <c r="I13" s="286" t="e">
        <f>G13*F13</f>
        <v>#VALUE!</v>
      </c>
      <c r="J13" s="287"/>
    </row>
    <row r="14" spans="3:10" ht="21" customHeight="1">
      <c r="C14" s="18"/>
      <c r="D14" s="18"/>
      <c r="E14" s="18"/>
      <c r="F14" s="18"/>
      <c r="G14" s="18"/>
      <c r="H14" s="18"/>
      <c r="I14" s="18"/>
      <c r="J14" s="18"/>
    </row>
    <row r="15" spans="3:10">
      <c r="C15" s="18"/>
      <c r="D15" s="18"/>
      <c r="E15" s="18"/>
      <c r="F15" s="18"/>
      <c r="G15" s="18"/>
      <c r="H15" s="18"/>
      <c r="I15" s="18"/>
      <c r="J15" s="18"/>
    </row>
    <row r="16" spans="3:10" s="1" customFormat="1">
      <c r="C16" s="225" t="s">
        <v>192</v>
      </c>
      <c r="D16" s="225"/>
      <c r="E16" s="225"/>
      <c r="F16" s="225"/>
      <c r="G16" s="225"/>
      <c r="H16" s="225"/>
      <c r="I16" s="225"/>
      <c r="J16" s="225"/>
    </row>
    <row r="17" spans="3:10">
      <c r="C17" s="18"/>
      <c r="D17" s="18"/>
      <c r="E17" s="18"/>
      <c r="F17" s="18"/>
      <c r="G17" s="18"/>
      <c r="H17" s="18"/>
      <c r="I17" s="18"/>
      <c r="J17" s="18"/>
    </row>
    <row r="18" spans="3:10" ht="22.5" customHeight="1">
      <c r="C18" s="294" t="s">
        <v>48</v>
      </c>
      <c r="D18" s="294"/>
      <c r="E18" s="294"/>
      <c r="F18" s="294"/>
      <c r="G18" s="294"/>
      <c r="H18" s="294"/>
      <c r="I18" s="294"/>
      <c r="J18" s="294"/>
    </row>
    <row r="19" spans="3:10" ht="22.5" customHeight="1">
      <c r="C19" s="290" t="s">
        <v>0</v>
      </c>
      <c r="D19" s="290" t="s">
        <v>25</v>
      </c>
      <c r="E19" s="290" t="s">
        <v>68</v>
      </c>
      <c r="F19" s="290" t="s">
        <v>66</v>
      </c>
      <c r="G19" s="145" t="s">
        <v>33</v>
      </c>
      <c r="H19" s="146"/>
      <c r="I19" s="288" t="s">
        <v>34</v>
      </c>
      <c r="J19" s="289"/>
    </row>
    <row r="20" spans="3:10" ht="22.5" customHeight="1">
      <c r="C20" s="291"/>
      <c r="D20" s="291"/>
      <c r="E20" s="291"/>
      <c r="F20" s="291"/>
      <c r="G20" s="145" t="s">
        <v>32</v>
      </c>
      <c r="H20" s="146"/>
      <c r="I20" s="288" t="s">
        <v>32</v>
      </c>
      <c r="J20" s="289"/>
    </row>
    <row r="21" spans="3:10" ht="26.25" customHeight="1">
      <c r="C21" s="54" t="s">
        <v>67</v>
      </c>
      <c r="D21" s="44">
        <v>227</v>
      </c>
      <c r="E21" s="52">
        <f>150</f>
        <v>150</v>
      </c>
      <c r="F21" s="52">
        <f>D21*E21</f>
        <v>34050</v>
      </c>
      <c r="G21" s="284" t="e">
        <f>G40</f>
        <v>#VALUE!</v>
      </c>
      <c r="H21" s="285"/>
      <c r="I21" s="286" t="e">
        <f>G21*F21</f>
        <v>#VALUE!</v>
      </c>
      <c r="J21" s="287"/>
    </row>
    <row r="22" spans="3:10">
      <c r="C22" s="18"/>
      <c r="D22" s="18"/>
      <c r="E22" s="1"/>
      <c r="F22" s="1"/>
      <c r="G22" s="1"/>
      <c r="H22" s="18"/>
      <c r="I22" s="18"/>
      <c r="J22" s="18"/>
    </row>
    <row r="23" spans="3:10" ht="15" customHeight="1">
      <c r="C23" s="18"/>
      <c r="D23" s="18"/>
      <c r="E23" s="18"/>
      <c r="F23" s="18"/>
      <c r="G23" s="18"/>
      <c r="H23" s="18"/>
      <c r="I23" s="18"/>
      <c r="J23" s="18"/>
    </row>
    <row r="24" spans="3:10">
      <c r="C24" s="18"/>
      <c r="D24" s="18"/>
      <c r="E24" s="18"/>
      <c r="F24" s="18"/>
      <c r="G24" s="18"/>
      <c r="H24" s="18"/>
      <c r="I24" s="18"/>
      <c r="J24" s="18"/>
    </row>
    <row r="25" spans="3:10">
      <c r="C25" s="225" t="s">
        <v>193</v>
      </c>
      <c r="D25" s="225"/>
      <c r="E25" s="225"/>
      <c r="F25" s="225"/>
      <c r="G25" s="225"/>
      <c r="H25" s="225"/>
      <c r="I25" s="225"/>
      <c r="J25" s="225"/>
    </row>
    <row r="26" spans="3:10">
      <c r="C26" s="18"/>
      <c r="D26" s="18"/>
      <c r="E26" s="18"/>
      <c r="F26" s="18"/>
      <c r="G26" s="18"/>
      <c r="H26" s="18"/>
      <c r="I26" s="18"/>
      <c r="J26" s="18"/>
    </row>
    <row r="27" spans="3:10" ht="21.75" customHeight="1">
      <c r="C27" s="294" t="s">
        <v>48</v>
      </c>
      <c r="D27" s="294"/>
      <c r="E27" s="294"/>
      <c r="F27" s="294"/>
      <c r="G27" s="294"/>
      <c r="H27" s="294"/>
      <c r="I27" s="294"/>
      <c r="J27" s="294"/>
    </row>
    <row r="28" spans="3:10" ht="21.75" customHeight="1">
      <c r="C28" s="290" t="s">
        <v>0</v>
      </c>
      <c r="D28" s="290" t="s">
        <v>25</v>
      </c>
      <c r="E28" s="290" t="s">
        <v>68</v>
      </c>
      <c r="F28" s="290" t="s">
        <v>66</v>
      </c>
      <c r="G28" s="145" t="s">
        <v>33</v>
      </c>
      <c r="H28" s="146"/>
      <c r="I28" s="288" t="s">
        <v>34</v>
      </c>
      <c r="J28" s="289"/>
    </row>
    <row r="29" spans="3:10" ht="21.75" customHeight="1">
      <c r="C29" s="291"/>
      <c r="D29" s="291"/>
      <c r="E29" s="291"/>
      <c r="F29" s="291"/>
      <c r="G29" s="145" t="s">
        <v>32</v>
      </c>
      <c r="H29" s="146"/>
      <c r="I29" s="288" t="s">
        <v>32</v>
      </c>
      <c r="J29" s="289"/>
    </row>
    <row r="30" spans="3:10" ht="26.25" customHeight="1">
      <c r="C30" s="54" t="s">
        <v>67</v>
      </c>
      <c r="D30" s="44">
        <v>227</v>
      </c>
      <c r="E30" s="52">
        <v>70</v>
      </c>
      <c r="F30" s="52">
        <f>D30*E30</f>
        <v>15890</v>
      </c>
      <c r="G30" s="284" t="e">
        <f>G40</f>
        <v>#VALUE!</v>
      </c>
      <c r="H30" s="285"/>
      <c r="I30" s="286" t="e">
        <f>G30*F30</f>
        <v>#VALUE!</v>
      </c>
      <c r="J30" s="287"/>
    </row>
    <row r="31" spans="3:10">
      <c r="C31" s="1"/>
      <c r="D31" s="1"/>
      <c r="E31" s="1"/>
      <c r="F31" s="1"/>
      <c r="G31" s="1"/>
      <c r="H31" s="1"/>
      <c r="I31" s="1"/>
      <c r="J31" s="1"/>
    </row>
    <row r="32" spans="3:10">
      <c r="C32" s="3"/>
      <c r="D32" s="1"/>
      <c r="E32" s="1"/>
      <c r="F32" s="1"/>
      <c r="G32" s="1"/>
      <c r="H32" s="1"/>
      <c r="I32" s="1"/>
      <c r="J32" s="1"/>
    </row>
    <row r="33" spans="3:7">
      <c r="C33" s="1"/>
    </row>
    <row r="34" spans="3:7">
      <c r="C34" s="1"/>
    </row>
    <row r="35" spans="3:7">
      <c r="C35" s="1"/>
    </row>
    <row r="36" spans="3:7">
      <c r="C36" s="1"/>
    </row>
    <row r="37" spans="3:7">
      <c r="E37" s="9"/>
      <c r="F37" s="292" t="s">
        <v>57</v>
      </c>
      <c r="G37" s="293"/>
    </row>
    <row r="38" spans="3:7">
      <c r="E38" s="188" t="s">
        <v>28</v>
      </c>
      <c r="F38" s="184" t="s">
        <v>29</v>
      </c>
      <c r="G38" s="185"/>
    </row>
    <row r="39" spans="3:7">
      <c r="E39" s="189"/>
      <c r="F39" s="186" t="s">
        <v>222</v>
      </c>
      <c r="G39" s="187"/>
    </row>
    <row r="40" spans="3:7">
      <c r="E40" s="188" t="s">
        <v>32</v>
      </c>
      <c r="F40" s="6" t="s">
        <v>31</v>
      </c>
      <c r="G40" s="170" t="e">
        <f>1/F41</f>
        <v>#VALUE!</v>
      </c>
    </row>
    <row r="41" spans="3:7">
      <c r="E41" s="189"/>
      <c r="F41" s="125" t="s">
        <v>220</v>
      </c>
      <c r="G41" s="171"/>
    </row>
  </sheetData>
  <mergeCells count="43">
    <mergeCell ref="C5:J5"/>
    <mergeCell ref="F37:G37"/>
    <mergeCell ref="F38:G38"/>
    <mergeCell ref="F39:G39"/>
    <mergeCell ref="G11:H11"/>
    <mergeCell ref="I11:J11"/>
    <mergeCell ref="C10:J10"/>
    <mergeCell ref="E38:E39"/>
    <mergeCell ref="C16:J16"/>
    <mergeCell ref="C18:J18"/>
    <mergeCell ref="G19:H19"/>
    <mergeCell ref="I19:J19"/>
    <mergeCell ref="C25:J25"/>
    <mergeCell ref="C27:J27"/>
    <mergeCell ref="G28:H28"/>
    <mergeCell ref="I28:J28"/>
    <mergeCell ref="C8:J8"/>
    <mergeCell ref="G40:G41"/>
    <mergeCell ref="E40:E41"/>
    <mergeCell ref="C11:C12"/>
    <mergeCell ref="D11:D12"/>
    <mergeCell ref="E11:E12"/>
    <mergeCell ref="F11:F12"/>
    <mergeCell ref="F19:F20"/>
    <mergeCell ref="E19:E20"/>
    <mergeCell ref="D19:D20"/>
    <mergeCell ref="C19:C20"/>
    <mergeCell ref="C28:C29"/>
    <mergeCell ref="D28:D29"/>
    <mergeCell ref="E28:E29"/>
    <mergeCell ref="F28:F29"/>
    <mergeCell ref="G12:H12"/>
    <mergeCell ref="I12:J12"/>
    <mergeCell ref="G20:H20"/>
    <mergeCell ref="I20:J20"/>
    <mergeCell ref="I21:J21"/>
    <mergeCell ref="G13:H13"/>
    <mergeCell ref="G21:H21"/>
    <mergeCell ref="G30:H30"/>
    <mergeCell ref="I30:J30"/>
    <mergeCell ref="I29:J29"/>
    <mergeCell ref="G29:H29"/>
    <mergeCell ref="I13:J13"/>
  </mergeCells>
  <pageMargins left="1.0236220472440944" right="0.51181102362204722" top="1.0629921259842521" bottom="0.78740157480314965" header="0.31496062992125984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C3:J44"/>
  <sheetViews>
    <sheetView topLeftCell="A16" zoomScale="85" zoomScaleNormal="85" workbookViewId="0">
      <selection activeCell="F45" sqref="F45"/>
    </sheetView>
  </sheetViews>
  <sheetFormatPr defaultRowHeight="15"/>
  <cols>
    <col min="1" max="2" width="9.140625" style="1"/>
    <col min="3" max="3" width="55.28515625" style="1" bestFit="1" customWidth="1"/>
    <col min="4" max="4" width="21.7109375" style="1" customWidth="1"/>
    <col min="5" max="5" width="29" style="1" customWidth="1"/>
    <col min="6" max="6" width="20.7109375" style="1" customWidth="1"/>
    <col min="7" max="8" width="22.85546875" style="1" customWidth="1"/>
    <col min="9" max="10" width="19.7109375" style="1" customWidth="1"/>
    <col min="11" max="16384" width="9.140625" style="1"/>
  </cols>
  <sheetData>
    <row r="3" spans="3:10">
      <c r="C3" s="18"/>
      <c r="D3" s="18"/>
      <c r="E3" s="18"/>
      <c r="F3" s="18"/>
      <c r="G3" s="18"/>
      <c r="H3" s="18"/>
      <c r="I3" s="18"/>
      <c r="J3" s="18"/>
    </row>
    <row r="4" spans="3:10">
      <c r="C4" s="18"/>
      <c r="D4" s="18"/>
      <c r="E4" s="18"/>
      <c r="F4" s="18"/>
      <c r="G4" s="18"/>
      <c r="H4" s="18"/>
      <c r="I4" s="18"/>
      <c r="J4" s="18"/>
    </row>
    <row r="5" spans="3:10" ht="17.25">
      <c r="C5" s="193" t="s">
        <v>194</v>
      </c>
      <c r="D5" s="193"/>
      <c r="E5" s="193"/>
      <c r="F5" s="193"/>
      <c r="G5" s="193"/>
      <c r="H5" s="193"/>
      <c r="I5" s="193"/>
      <c r="J5" s="193"/>
    </row>
    <row r="6" spans="3:10">
      <c r="C6" s="18"/>
      <c r="D6" s="18"/>
      <c r="E6" s="18"/>
      <c r="F6" s="18"/>
      <c r="G6" s="18"/>
      <c r="H6" s="18"/>
      <c r="I6" s="18"/>
      <c r="J6" s="18"/>
    </row>
    <row r="7" spans="3:10">
      <c r="C7" s="18"/>
      <c r="D7" s="18"/>
      <c r="E7" s="18"/>
      <c r="F7" s="18"/>
      <c r="G7" s="18"/>
      <c r="H7" s="18"/>
      <c r="I7" s="18"/>
      <c r="J7" s="18"/>
    </row>
    <row r="8" spans="3:10">
      <c r="C8" s="225" t="s">
        <v>191</v>
      </c>
      <c r="D8" s="225"/>
      <c r="E8" s="225"/>
      <c r="F8" s="225"/>
      <c r="G8" s="225"/>
      <c r="H8" s="225"/>
      <c r="I8" s="225"/>
      <c r="J8" s="225"/>
    </row>
    <row r="9" spans="3:10" ht="24.75" customHeight="1">
      <c r="C9" s="18"/>
      <c r="D9" s="18"/>
      <c r="E9" s="18"/>
      <c r="F9" s="18"/>
      <c r="G9" s="18"/>
      <c r="H9" s="18"/>
      <c r="I9" s="18"/>
      <c r="J9" s="18"/>
    </row>
    <row r="10" spans="3:10" ht="23.25" customHeight="1">
      <c r="C10" s="294" t="s">
        <v>48</v>
      </c>
      <c r="D10" s="294"/>
      <c r="E10" s="294"/>
      <c r="F10" s="294"/>
      <c r="G10" s="294"/>
      <c r="H10" s="294"/>
      <c r="I10" s="294"/>
      <c r="J10" s="294"/>
    </row>
    <row r="11" spans="3:10" ht="23.25" customHeight="1">
      <c r="C11" s="290" t="s">
        <v>0</v>
      </c>
      <c r="D11" s="290" t="s">
        <v>25</v>
      </c>
      <c r="E11" s="290" t="s">
        <v>68</v>
      </c>
      <c r="F11" s="290" t="s">
        <v>66</v>
      </c>
      <c r="G11" s="145" t="s">
        <v>33</v>
      </c>
      <c r="H11" s="146"/>
      <c r="I11" s="288" t="s">
        <v>34</v>
      </c>
      <c r="J11" s="289"/>
    </row>
    <row r="12" spans="3:10" ht="23.25" customHeight="1">
      <c r="C12" s="291"/>
      <c r="D12" s="291"/>
      <c r="E12" s="291"/>
      <c r="F12" s="291"/>
      <c r="G12" s="145" t="s">
        <v>32</v>
      </c>
      <c r="H12" s="146"/>
      <c r="I12" s="288" t="s">
        <v>32</v>
      </c>
      <c r="J12" s="289"/>
    </row>
    <row r="13" spans="3:10" ht="26.25" customHeight="1">
      <c r="C13" s="54" t="s">
        <v>189</v>
      </c>
      <c r="D13" s="44">
        <v>227</v>
      </c>
      <c r="E13" s="52">
        <v>90</v>
      </c>
      <c r="F13" s="52">
        <f>D13*E13</f>
        <v>20430</v>
      </c>
      <c r="G13" s="295" t="e">
        <f>G43</f>
        <v>#VALUE!</v>
      </c>
      <c r="H13" s="296"/>
      <c r="I13" s="286" t="e">
        <f>G13*F13</f>
        <v>#VALUE!</v>
      </c>
      <c r="J13" s="287"/>
    </row>
    <row r="14" spans="3:10" ht="26.25" customHeight="1">
      <c r="C14" s="54" t="s">
        <v>190</v>
      </c>
      <c r="D14" s="44">
        <v>227</v>
      </c>
      <c r="E14" s="52">
        <v>110</v>
      </c>
      <c r="F14" s="52">
        <f>D14*E14</f>
        <v>24970</v>
      </c>
      <c r="G14" s="295" t="e">
        <f>G43</f>
        <v>#VALUE!</v>
      </c>
      <c r="H14" s="296"/>
      <c r="I14" s="286" t="e">
        <f>G14*F14</f>
        <v>#VALUE!</v>
      </c>
      <c r="J14" s="287"/>
    </row>
    <row r="15" spans="3:10">
      <c r="C15" s="18"/>
      <c r="D15" s="18"/>
      <c r="E15" s="18"/>
      <c r="F15" s="18"/>
      <c r="G15" s="18"/>
      <c r="H15" s="18"/>
      <c r="I15" s="18"/>
      <c r="J15" s="18"/>
    </row>
    <row r="16" spans="3:10">
      <c r="C16" s="18"/>
      <c r="D16" s="18"/>
      <c r="E16" s="18"/>
      <c r="F16" s="18"/>
      <c r="G16" s="18"/>
      <c r="H16" s="18"/>
      <c r="I16" s="18"/>
      <c r="J16" s="18"/>
    </row>
    <row r="17" spans="3:10">
      <c r="C17" s="18"/>
      <c r="D17" s="18"/>
      <c r="E17" s="18"/>
      <c r="F17" s="18"/>
      <c r="G17" s="18"/>
      <c r="H17" s="18"/>
      <c r="I17" s="53"/>
      <c r="J17" s="18"/>
    </row>
    <row r="18" spans="3:10">
      <c r="C18" s="225" t="s">
        <v>192</v>
      </c>
      <c r="D18" s="225"/>
      <c r="E18" s="225"/>
      <c r="F18" s="225"/>
      <c r="G18" s="225"/>
      <c r="H18" s="225"/>
      <c r="I18" s="225"/>
      <c r="J18" s="225"/>
    </row>
    <row r="19" spans="3:10">
      <c r="C19" s="18"/>
      <c r="D19" s="18"/>
      <c r="E19" s="18"/>
      <c r="F19" s="18"/>
      <c r="G19" s="18"/>
      <c r="H19" s="18"/>
      <c r="I19" s="18"/>
      <c r="J19" s="18"/>
    </row>
    <row r="20" spans="3:10" ht="22.5" customHeight="1">
      <c r="C20" s="294" t="s">
        <v>48</v>
      </c>
      <c r="D20" s="294"/>
      <c r="E20" s="294"/>
      <c r="F20" s="294"/>
      <c r="G20" s="294"/>
      <c r="H20" s="294"/>
      <c r="I20" s="294"/>
      <c r="J20" s="294"/>
    </row>
    <row r="21" spans="3:10" ht="22.5" customHeight="1">
      <c r="C21" s="290" t="s">
        <v>0</v>
      </c>
      <c r="D21" s="290" t="s">
        <v>25</v>
      </c>
      <c r="E21" s="290" t="s">
        <v>68</v>
      </c>
      <c r="F21" s="290" t="s">
        <v>66</v>
      </c>
      <c r="G21" s="145" t="s">
        <v>33</v>
      </c>
      <c r="H21" s="146"/>
      <c r="I21" s="288" t="s">
        <v>34</v>
      </c>
      <c r="J21" s="289"/>
    </row>
    <row r="22" spans="3:10" ht="22.5" customHeight="1">
      <c r="C22" s="291"/>
      <c r="D22" s="291"/>
      <c r="E22" s="291"/>
      <c r="F22" s="291"/>
      <c r="G22" s="145" t="s">
        <v>32</v>
      </c>
      <c r="H22" s="146"/>
      <c r="I22" s="288" t="s">
        <v>32</v>
      </c>
      <c r="J22" s="289"/>
    </row>
    <row r="23" spans="3:10" ht="26.25" customHeight="1">
      <c r="C23" s="54" t="s">
        <v>189</v>
      </c>
      <c r="D23" s="44">
        <v>227</v>
      </c>
      <c r="E23" s="52">
        <v>75</v>
      </c>
      <c r="F23" s="52">
        <f>D23*E23</f>
        <v>17025</v>
      </c>
      <c r="G23" s="284" t="e">
        <f>G43</f>
        <v>#VALUE!</v>
      </c>
      <c r="H23" s="285"/>
      <c r="I23" s="286" t="e">
        <f>G23*F23</f>
        <v>#VALUE!</v>
      </c>
      <c r="J23" s="287"/>
    </row>
    <row r="24" spans="3:10" ht="26.25" customHeight="1">
      <c r="C24" s="54" t="s">
        <v>190</v>
      </c>
      <c r="D24" s="44">
        <v>227</v>
      </c>
      <c r="E24" s="52">
        <v>75</v>
      </c>
      <c r="F24" s="52">
        <f>D24*E24</f>
        <v>17025</v>
      </c>
      <c r="G24" s="284" t="e">
        <f>G43</f>
        <v>#VALUE!</v>
      </c>
      <c r="H24" s="285"/>
      <c r="I24" s="286" t="e">
        <f>G24*F24</f>
        <v>#VALUE!</v>
      </c>
      <c r="J24" s="287"/>
    </row>
    <row r="25" spans="3:10">
      <c r="C25" s="18"/>
      <c r="D25" s="18"/>
      <c r="H25" s="18"/>
      <c r="I25" s="18"/>
      <c r="J25" s="18"/>
    </row>
    <row r="26" spans="3:10">
      <c r="C26" s="18"/>
      <c r="D26" s="18"/>
      <c r="E26" s="18"/>
      <c r="F26" s="18"/>
      <c r="G26" s="18"/>
      <c r="H26" s="18"/>
      <c r="I26" s="18"/>
      <c r="J26" s="18"/>
    </row>
    <row r="27" spans="3:10">
      <c r="C27" s="18"/>
      <c r="D27" s="18"/>
      <c r="E27" s="18"/>
      <c r="F27" s="18"/>
      <c r="G27" s="18"/>
      <c r="H27" s="18"/>
      <c r="I27" s="18"/>
      <c r="J27" s="18"/>
    </row>
    <row r="28" spans="3:10">
      <c r="C28" s="225" t="s">
        <v>193</v>
      </c>
      <c r="D28" s="225"/>
      <c r="E28" s="225"/>
      <c r="F28" s="225"/>
      <c r="G28" s="225"/>
      <c r="H28" s="225"/>
      <c r="I28" s="225"/>
      <c r="J28" s="225"/>
    </row>
    <row r="29" spans="3:10">
      <c r="C29" s="18"/>
      <c r="D29" s="18"/>
      <c r="E29" s="18"/>
      <c r="F29" s="18"/>
      <c r="G29" s="18"/>
      <c r="H29" s="18"/>
      <c r="I29" s="18"/>
      <c r="J29" s="18"/>
    </row>
    <row r="30" spans="3:10" ht="21.75" customHeight="1">
      <c r="C30" s="294" t="s">
        <v>48</v>
      </c>
      <c r="D30" s="294"/>
      <c r="E30" s="294"/>
      <c r="F30" s="294"/>
      <c r="G30" s="294"/>
      <c r="H30" s="294"/>
      <c r="I30" s="294"/>
      <c r="J30" s="294"/>
    </row>
    <row r="31" spans="3:10" ht="21.75" customHeight="1">
      <c r="C31" s="290" t="s">
        <v>0</v>
      </c>
      <c r="D31" s="290" t="s">
        <v>25</v>
      </c>
      <c r="E31" s="290" t="s">
        <v>68</v>
      </c>
      <c r="F31" s="290" t="s">
        <v>66</v>
      </c>
      <c r="G31" s="145" t="s">
        <v>33</v>
      </c>
      <c r="H31" s="146"/>
      <c r="I31" s="288" t="s">
        <v>34</v>
      </c>
      <c r="J31" s="289"/>
    </row>
    <row r="32" spans="3:10" ht="21.75" customHeight="1">
      <c r="C32" s="291"/>
      <c r="D32" s="291"/>
      <c r="E32" s="291"/>
      <c r="F32" s="291"/>
      <c r="G32" s="145" t="s">
        <v>32</v>
      </c>
      <c r="H32" s="146"/>
      <c r="I32" s="288" t="s">
        <v>32</v>
      </c>
      <c r="J32" s="289"/>
    </row>
    <row r="33" spans="3:10" ht="26.25" customHeight="1">
      <c r="C33" s="54" t="s">
        <v>189</v>
      </c>
      <c r="D33" s="44">
        <v>227</v>
      </c>
      <c r="E33" s="52">
        <v>32</v>
      </c>
      <c r="F33" s="52">
        <f>D33*E33</f>
        <v>7264</v>
      </c>
      <c r="G33" s="284" t="e">
        <f>G43</f>
        <v>#VALUE!</v>
      </c>
      <c r="H33" s="285"/>
      <c r="I33" s="286" t="e">
        <f>G33*F33</f>
        <v>#VALUE!</v>
      </c>
      <c r="J33" s="287"/>
    </row>
    <row r="34" spans="3:10" ht="26.25" customHeight="1">
      <c r="C34" s="54" t="s">
        <v>190</v>
      </c>
      <c r="D34" s="44">
        <v>227</v>
      </c>
      <c r="E34" s="52">
        <v>35</v>
      </c>
      <c r="F34" s="52">
        <f>D34*E34</f>
        <v>7945</v>
      </c>
      <c r="G34" s="284" t="e">
        <f>G43</f>
        <v>#VALUE!</v>
      </c>
      <c r="H34" s="285"/>
      <c r="I34" s="286" t="e">
        <f>G34*F34</f>
        <v>#VALUE!</v>
      </c>
      <c r="J34" s="287"/>
    </row>
    <row r="36" spans="3:10">
      <c r="C36" s="3"/>
    </row>
    <row r="37" spans="3:10">
      <c r="C37" s="3"/>
    </row>
    <row r="38" spans="3:10">
      <c r="C38" s="3"/>
    </row>
    <row r="40" spans="3:10">
      <c r="E40" s="9"/>
      <c r="F40" s="292" t="s">
        <v>57</v>
      </c>
      <c r="G40" s="293"/>
    </row>
    <row r="41" spans="3:10">
      <c r="E41" s="188" t="s">
        <v>28</v>
      </c>
      <c r="F41" s="184" t="s">
        <v>29</v>
      </c>
      <c r="G41" s="185"/>
    </row>
    <row r="42" spans="3:10">
      <c r="E42" s="189"/>
      <c r="F42" s="186" t="s">
        <v>222</v>
      </c>
      <c r="G42" s="187"/>
    </row>
    <row r="43" spans="3:10">
      <c r="E43" s="188" t="s">
        <v>32</v>
      </c>
      <c r="F43" s="6" t="s">
        <v>31</v>
      </c>
      <c r="G43" s="170" t="e">
        <f>1/F44</f>
        <v>#VALUE!</v>
      </c>
    </row>
    <row r="44" spans="3:10">
      <c r="E44" s="189"/>
      <c r="F44" s="125" t="s">
        <v>220</v>
      </c>
      <c r="G44" s="171"/>
    </row>
  </sheetData>
  <mergeCells count="49">
    <mergeCell ref="C20:J20"/>
    <mergeCell ref="G21:H21"/>
    <mergeCell ref="I21:J21"/>
    <mergeCell ref="C5:J5"/>
    <mergeCell ref="C8:J8"/>
    <mergeCell ref="C10:J10"/>
    <mergeCell ref="G11:H11"/>
    <mergeCell ref="I11:J11"/>
    <mergeCell ref="C18:J18"/>
    <mergeCell ref="C11:C12"/>
    <mergeCell ref="D11:D12"/>
    <mergeCell ref="E11:E12"/>
    <mergeCell ref="F11:F12"/>
    <mergeCell ref="F21:F22"/>
    <mergeCell ref="E21:E22"/>
    <mergeCell ref="D21:D22"/>
    <mergeCell ref="G43:G44"/>
    <mergeCell ref="E43:E44"/>
    <mergeCell ref="C28:J28"/>
    <mergeCell ref="C30:J30"/>
    <mergeCell ref="G31:H31"/>
    <mergeCell ref="I31:J31"/>
    <mergeCell ref="F40:G40"/>
    <mergeCell ref="E41:E42"/>
    <mergeCell ref="F41:G41"/>
    <mergeCell ref="F42:G42"/>
    <mergeCell ref="I32:J32"/>
    <mergeCell ref="I33:J33"/>
    <mergeCell ref="I34:J34"/>
    <mergeCell ref="G33:H33"/>
    <mergeCell ref="G34:H34"/>
    <mergeCell ref="G32:H32"/>
    <mergeCell ref="C21:C22"/>
    <mergeCell ref="C31:C32"/>
    <mergeCell ref="D31:D32"/>
    <mergeCell ref="E31:E32"/>
    <mergeCell ref="F31:F32"/>
    <mergeCell ref="G12:H12"/>
    <mergeCell ref="G13:H13"/>
    <mergeCell ref="G14:H14"/>
    <mergeCell ref="I13:J13"/>
    <mergeCell ref="I12:J12"/>
    <mergeCell ref="I14:J14"/>
    <mergeCell ref="I22:J22"/>
    <mergeCell ref="G22:H22"/>
    <mergeCell ref="G23:H23"/>
    <mergeCell ref="G24:H24"/>
    <mergeCell ref="I24:J24"/>
    <mergeCell ref="I23:J23"/>
  </mergeCells>
  <pageMargins left="0.62992125984251968" right="0.51181102362204722" top="0.62992125984251968" bottom="0.78740157480314965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3:M81"/>
  <sheetViews>
    <sheetView topLeftCell="A13" zoomScale="85" zoomScaleNormal="85" zoomScaleSheetLayoutView="70" workbookViewId="0">
      <selection activeCell="C39" sqref="C39"/>
    </sheetView>
  </sheetViews>
  <sheetFormatPr defaultRowHeight="16.5"/>
  <cols>
    <col min="1" max="1" width="9.140625" style="97"/>
    <col min="2" max="2" width="13" style="97" customWidth="1"/>
    <col min="3" max="3" width="75.85546875" style="97" customWidth="1"/>
    <col min="4" max="4" width="1.28515625" style="97" customWidth="1"/>
    <col min="5" max="8" width="19.85546875" style="97" customWidth="1"/>
    <col min="9" max="9" width="1.5703125" style="97" customWidth="1"/>
    <col min="10" max="11" width="19.85546875" style="97" customWidth="1"/>
    <col min="12" max="12" width="23.42578125" style="97" customWidth="1"/>
    <col min="13" max="16384" width="9.140625" style="97"/>
  </cols>
  <sheetData>
    <row r="3" spans="2:12" ht="18.75">
      <c r="B3" s="298" t="s">
        <v>76</v>
      </c>
      <c r="C3" s="298"/>
      <c r="D3" s="298"/>
      <c r="E3" s="298"/>
      <c r="F3" s="298"/>
      <c r="G3" s="298"/>
      <c r="H3" s="298"/>
      <c r="I3" s="298"/>
      <c r="J3" s="298"/>
      <c r="K3" s="298"/>
    </row>
    <row r="4" spans="2:12" ht="18.75"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2:12">
      <c r="B5" s="302" t="s">
        <v>112</v>
      </c>
      <c r="C5" s="302"/>
      <c r="D5" s="302"/>
      <c r="E5" s="302"/>
      <c r="F5" s="302"/>
      <c r="G5" s="302"/>
      <c r="H5" s="302"/>
      <c r="I5" s="302"/>
      <c r="J5" s="302"/>
      <c r="K5" s="302"/>
    </row>
    <row r="7" spans="2:12" ht="35.25" customHeight="1">
      <c r="E7" s="307" t="s">
        <v>48</v>
      </c>
      <c r="F7" s="308"/>
      <c r="G7" s="308"/>
      <c r="H7" s="309"/>
      <c r="J7" s="301" t="s">
        <v>42</v>
      </c>
      <c r="K7" s="301"/>
    </row>
    <row r="8" spans="2:12" ht="18" customHeight="1">
      <c r="B8" s="306" t="s">
        <v>65</v>
      </c>
      <c r="C8" s="306" t="s">
        <v>0</v>
      </c>
      <c r="D8" s="99"/>
      <c r="E8" s="306" t="s">
        <v>32</v>
      </c>
      <c r="F8" s="306" t="s">
        <v>100</v>
      </c>
      <c r="G8" s="306" t="s">
        <v>74</v>
      </c>
      <c r="H8" s="299" t="s">
        <v>1</v>
      </c>
      <c r="J8" s="300" t="s">
        <v>32</v>
      </c>
      <c r="K8" s="306" t="s">
        <v>30</v>
      </c>
    </row>
    <row r="9" spans="2:12" ht="18" customHeight="1">
      <c r="B9" s="306"/>
      <c r="C9" s="306"/>
      <c r="D9" s="99"/>
      <c r="E9" s="306"/>
      <c r="F9" s="306"/>
      <c r="G9" s="306"/>
      <c r="H9" s="300"/>
      <c r="J9" s="306"/>
      <c r="K9" s="306"/>
    </row>
    <row r="10" spans="2:12" ht="18" customHeight="1">
      <c r="B10" s="104">
        <v>1</v>
      </c>
      <c r="C10" s="105" t="s">
        <v>2</v>
      </c>
      <c r="D10" s="106"/>
      <c r="E10" s="107" t="e">
        <f>ROUNDUP('Efetivo Estações'!N9,1)</f>
        <v>#VALUE!</v>
      </c>
      <c r="F10" s="303">
        <v>6</v>
      </c>
      <c r="G10" s="104"/>
      <c r="H10" s="104"/>
      <c r="I10" s="108"/>
      <c r="J10" s="107" t="e">
        <f>ROUNDUP('Efetivo Estações'!J46,1)</f>
        <v>#VALUE!</v>
      </c>
      <c r="K10" s="303">
        <v>6</v>
      </c>
      <c r="L10" s="109"/>
    </row>
    <row r="11" spans="2:12" ht="18" customHeight="1">
      <c r="B11" s="104">
        <v>2</v>
      </c>
      <c r="C11" s="105" t="s">
        <v>5</v>
      </c>
      <c r="D11" s="106"/>
      <c r="E11" s="107" t="e">
        <f>ROUNDUP('Efetivo Estações'!N10,1)</f>
        <v>#VALUE!</v>
      </c>
      <c r="F11" s="304"/>
      <c r="G11" s="104"/>
      <c r="H11" s="104"/>
      <c r="I11" s="108"/>
      <c r="J11" s="107" t="e">
        <f>ROUNDUP('Efetivo Estações'!J47,1)</f>
        <v>#VALUE!</v>
      </c>
      <c r="K11" s="304"/>
      <c r="L11" s="109"/>
    </row>
    <row r="12" spans="2:12" ht="18" customHeight="1">
      <c r="B12" s="104">
        <v>3</v>
      </c>
      <c r="C12" s="105" t="s">
        <v>77</v>
      </c>
      <c r="D12" s="106"/>
      <c r="E12" s="107" t="e">
        <f>ROUNDUP('Efetivo Estações'!N11,1)</f>
        <v>#VALUE!</v>
      </c>
      <c r="F12" s="304"/>
      <c r="G12" s="104"/>
      <c r="H12" s="104"/>
      <c r="I12" s="108"/>
      <c r="J12" s="107" t="e">
        <f>ROUNDUP('Efetivo Estações'!J48,1)</f>
        <v>#VALUE!</v>
      </c>
      <c r="K12" s="304"/>
      <c r="L12" s="109"/>
    </row>
    <row r="13" spans="2:12" ht="18" customHeight="1">
      <c r="B13" s="104">
        <v>4</v>
      </c>
      <c r="C13" s="105" t="s">
        <v>83</v>
      </c>
      <c r="D13" s="106"/>
      <c r="E13" s="107" t="e">
        <f>ROUNDUP('Efetivo Estações'!N12,1)</f>
        <v>#VALUE!</v>
      </c>
      <c r="F13" s="304"/>
      <c r="G13" s="104"/>
      <c r="H13" s="104"/>
      <c r="I13" s="108"/>
      <c r="J13" s="107" t="e">
        <f>ROUNDUP('Efetivo Estações'!J49,1)</f>
        <v>#VALUE!</v>
      </c>
      <c r="K13" s="304"/>
      <c r="L13" s="109"/>
    </row>
    <row r="14" spans="2:12" ht="18" customHeight="1">
      <c r="B14" s="104">
        <v>5</v>
      </c>
      <c r="C14" s="105" t="s">
        <v>87</v>
      </c>
      <c r="D14" s="106"/>
      <c r="E14" s="107" t="e">
        <f>ROUNDUP('Efetivo Estações'!N13,1)</f>
        <v>#VALUE!</v>
      </c>
      <c r="F14" s="304"/>
      <c r="G14" s="104"/>
      <c r="H14" s="104"/>
      <c r="I14" s="108"/>
      <c r="J14" s="107" t="e">
        <f>ROUNDUP('Efetivo Estações'!J50,1)</f>
        <v>#VALUE!</v>
      </c>
      <c r="K14" s="304"/>
      <c r="L14" s="109"/>
    </row>
    <row r="15" spans="2:12" ht="18" customHeight="1">
      <c r="B15" s="104">
        <v>6</v>
      </c>
      <c r="C15" s="105" t="s">
        <v>84</v>
      </c>
      <c r="D15" s="106"/>
      <c r="E15" s="107" t="e">
        <f>ROUNDUP('Efetivo Estações'!N14,1)</f>
        <v>#VALUE!</v>
      </c>
      <c r="F15" s="304"/>
      <c r="G15" s="104"/>
      <c r="H15" s="104"/>
      <c r="I15" s="108"/>
      <c r="J15" s="107" t="e">
        <f>ROUNDUP('Efetivo Estações'!J51,1)</f>
        <v>#VALUE!</v>
      </c>
      <c r="K15" s="304"/>
      <c r="L15" s="109"/>
    </row>
    <row r="16" spans="2:12" ht="18" customHeight="1">
      <c r="B16" s="104">
        <v>7</v>
      </c>
      <c r="C16" s="105" t="s">
        <v>93</v>
      </c>
      <c r="D16" s="106"/>
      <c r="E16" s="107" t="e">
        <f>ROUNDUP('Efetivo Estações'!N15,1)</f>
        <v>#VALUE!</v>
      </c>
      <c r="F16" s="304"/>
      <c r="G16" s="104"/>
      <c r="H16" s="104"/>
      <c r="I16" s="108"/>
      <c r="J16" s="107" t="e">
        <f>ROUNDUP('Efetivo Estações'!J52,1)</f>
        <v>#VALUE!</v>
      </c>
      <c r="K16" s="304"/>
      <c r="L16" s="109"/>
    </row>
    <row r="17" spans="2:12" ht="18" customHeight="1">
      <c r="B17" s="104">
        <v>8</v>
      </c>
      <c r="C17" s="105" t="s">
        <v>94</v>
      </c>
      <c r="D17" s="106"/>
      <c r="E17" s="107" t="e">
        <f>ROUNDUP('Efetivo Estações'!N16,1)</f>
        <v>#VALUE!</v>
      </c>
      <c r="F17" s="304"/>
      <c r="G17" s="104"/>
      <c r="H17" s="104"/>
      <c r="I17" s="108"/>
      <c r="J17" s="107" t="e">
        <f>ROUNDUP('Efetivo Estações'!J53,1)</f>
        <v>#VALUE!</v>
      </c>
      <c r="K17" s="304"/>
      <c r="L17" s="109"/>
    </row>
    <row r="18" spans="2:12" ht="18" customHeight="1">
      <c r="B18" s="104">
        <v>9</v>
      </c>
      <c r="C18" s="105" t="s">
        <v>8</v>
      </c>
      <c r="D18" s="106"/>
      <c r="E18" s="107" t="e">
        <f>ROUNDUP('Efetivo Estações'!N17,1)</f>
        <v>#VALUE!</v>
      </c>
      <c r="F18" s="304"/>
      <c r="G18" s="104"/>
      <c r="H18" s="104"/>
      <c r="I18" s="108"/>
      <c r="J18" s="107" t="e">
        <f>ROUNDUP('Efetivo Estações'!J54,1)</f>
        <v>#VALUE!</v>
      </c>
      <c r="K18" s="304"/>
      <c r="L18" s="109"/>
    </row>
    <row r="19" spans="2:12" ht="18" customHeight="1">
      <c r="B19" s="104">
        <v>10</v>
      </c>
      <c r="C19" s="105" t="s">
        <v>95</v>
      </c>
      <c r="D19" s="106"/>
      <c r="E19" s="107" t="e">
        <f>ROUNDUP('Efetivo Estações'!N18,1)</f>
        <v>#VALUE!</v>
      </c>
      <c r="F19" s="304"/>
      <c r="G19" s="104"/>
      <c r="H19" s="104"/>
      <c r="I19" s="108"/>
      <c r="J19" s="107" t="e">
        <f>ROUNDUP('Efetivo Estações'!J55,1)</f>
        <v>#VALUE!</v>
      </c>
      <c r="K19" s="304"/>
      <c r="L19" s="109"/>
    </row>
    <row r="20" spans="2:12" ht="18" customHeight="1">
      <c r="B20" s="104">
        <v>11</v>
      </c>
      <c r="C20" s="105" t="s">
        <v>10</v>
      </c>
      <c r="D20" s="106"/>
      <c r="E20" s="107" t="e">
        <f>ROUNDUP('Efetivo Estações'!N19,1)</f>
        <v>#VALUE!</v>
      </c>
      <c r="F20" s="304"/>
      <c r="G20" s="104"/>
      <c r="H20" s="104"/>
      <c r="I20" s="108"/>
      <c r="J20" s="107" t="e">
        <f>ROUNDUP('Efetivo Estações'!J56,1)</f>
        <v>#VALUE!</v>
      </c>
      <c r="K20" s="304"/>
      <c r="L20" s="109"/>
    </row>
    <row r="21" spans="2:12" ht="18" customHeight="1">
      <c r="B21" s="104">
        <v>12</v>
      </c>
      <c r="C21" s="105" t="s">
        <v>11</v>
      </c>
      <c r="D21" s="106"/>
      <c r="E21" s="107" t="e">
        <f>ROUNDUP('Efetivo Estações'!N20,1)</f>
        <v>#VALUE!</v>
      </c>
      <c r="F21" s="304"/>
      <c r="G21" s="104"/>
      <c r="H21" s="104"/>
      <c r="I21" s="108"/>
      <c r="J21" s="107" t="e">
        <f>ROUNDUP('Efetivo Estações'!J57,1)</f>
        <v>#VALUE!</v>
      </c>
      <c r="K21" s="304"/>
      <c r="L21" s="109"/>
    </row>
    <row r="22" spans="2:12" ht="18" customHeight="1">
      <c r="B22" s="104">
        <v>13</v>
      </c>
      <c r="C22" s="105" t="s">
        <v>12</v>
      </c>
      <c r="D22" s="106"/>
      <c r="E22" s="107" t="e">
        <f>ROUNDUP('Efetivo Estações'!N21,1)</f>
        <v>#VALUE!</v>
      </c>
      <c r="F22" s="304"/>
      <c r="G22" s="104"/>
      <c r="H22" s="104"/>
      <c r="I22" s="108"/>
      <c r="J22" s="107" t="e">
        <f>ROUNDUP('Efetivo Estações'!J58,1)</f>
        <v>#VALUE!</v>
      </c>
      <c r="K22" s="304"/>
      <c r="L22" s="109"/>
    </row>
    <row r="23" spans="2:12" ht="18" customHeight="1">
      <c r="B23" s="104">
        <v>14</v>
      </c>
      <c r="C23" s="105" t="s">
        <v>13</v>
      </c>
      <c r="D23" s="106"/>
      <c r="E23" s="107" t="e">
        <f>ROUNDUP('Efetivo Estações'!N22,1)</f>
        <v>#VALUE!</v>
      </c>
      <c r="F23" s="304"/>
      <c r="G23" s="104"/>
      <c r="H23" s="104"/>
      <c r="I23" s="108"/>
      <c r="J23" s="107" t="e">
        <f>ROUNDUP('Efetivo Estações'!J59,1)</f>
        <v>#VALUE!</v>
      </c>
      <c r="K23" s="304"/>
      <c r="L23" s="109"/>
    </row>
    <row r="24" spans="2:12" ht="18" customHeight="1">
      <c r="B24" s="104">
        <v>15</v>
      </c>
      <c r="C24" s="105" t="s">
        <v>71</v>
      </c>
      <c r="D24" s="106"/>
      <c r="E24" s="107" t="e">
        <f>ROUNDUP('Efetivo Estações'!N23,1)</f>
        <v>#VALUE!</v>
      </c>
      <c r="F24" s="304"/>
      <c r="G24" s="104"/>
      <c r="H24" s="104"/>
      <c r="I24" s="108"/>
      <c r="J24" s="107" t="e">
        <f>ROUNDUP('Efetivo Estações'!J60,1)</f>
        <v>#VALUE!</v>
      </c>
      <c r="K24" s="304"/>
      <c r="L24" s="109"/>
    </row>
    <row r="25" spans="2:12" ht="18" customHeight="1">
      <c r="B25" s="104">
        <v>16</v>
      </c>
      <c r="C25" s="105" t="s">
        <v>19</v>
      </c>
      <c r="D25" s="106"/>
      <c r="E25" s="107" t="e">
        <f>ROUNDUP('Efetivo Estações'!N24,1)</f>
        <v>#VALUE!</v>
      </c>
      <c r="F25" s="304"/>
      <c r="G25" s="104"/>
      <c r="H25" s="104"/>
      <c r="I25" s="108"/>
      <c r="J25" s="107" t="e">
        <f>ROUNDUP('Efetivo Estações'!J61,1)</f>
        <v>#VALUE!</v>
      </c>
      <c r="K25" s="304"/>
      <c r="L25" s="109"/>
    </row>
    <row r="26" spans="2:12" ht="18" customHeight="1">
      <c r="B26" s="104">
        <v>17</v>
      </c>
      <c r="C26" s="105" t="s">
        <v>20</v>
      </c>
      <c r="D26" s="106"/>
      <c r="E26" s="107" t="e">
        <f>ROUNDUP('Efetivo Estações'!N25,1)</f>
        <v>#VALUE!</v>
      </c>
      <c r="F26" s="304"/>
      <c r="G26" s="104"/>
      <c r="H26" s="104"/>
      <c r="I26" s="108"/>
      <c r="J26" s="107" t="e">
        <f>ROUNDUP('Efetivo Estações'!J62,1)</f>
        <v>#VALUE!</v>
      </c>
      <c r="K26" s="304"/>
      <c r="L26" s="109"/>
    </row>
    <row r="27" spans="2:12" ht="18" customHeight="1">
      <c r="B27" s="104">
        <v>18</v>
      </c>
      <c r="C27" s="105" t="s">
        <v>85</v>
      </c>
      <c r="D27" s="106"/>
      <c r="E27" s="107" t="e">
        <f>ROUNDUP('Efetivo Estações'!N26,1)</f>
        <v>#VALUE!</v>
      </c>
      <c r="F27" s="304"/>
      <c r="G27" s="104"/>
      <c r="H27" s="104"/>
      <c r="I27" s="108"/>
      <c r="J27" s="107" t="e">
        <f>ROUNDUP('Efetivo Estações'!J63,1)</f>
        <v>#VALUE!</v>
      </c>
      <c r="K27" s="304"/>
      <c r="L27" s="109"/>
    </row>
    <row r="28" spans="2:12" ht="18" customHeight="1">
      <c r="B28" s="104">
        <v>19</v>
      </c>
      <c r="C28" s="105" t="s">
        <v>14</v>
      </c>
      <c r="D28" s="106"/>
      <c r="E28" s="107" t="e">
        <f>ROUNDUP('Efetivo Estações'!N27,1)</f>
        <v>#VALUE!</v>
      </c>
      <c r="F28" s="304"/>
      <c r="G28" s="104"/>
      <c r="H28" s="104"/>
      <c r="I28" s="108"/>
      <c r="J28" s="107" t="e">
        <f>ROUNDUP('Efetivo Estações'!J64,1)</f>
        <v>#VALUE!</v>
      </c>
      <c r="K28" s="304"/>
      <c r="L28" s="109"/>
    </row>
    <row r="29" spans="2:12" ht="18" customHeight="1">
      <c r="B29" s="104">
        <v>20</v>
      </c>
      <c r="C29" s="105" t="s">
        <v>15</v>
      </c>
      <c r="D29" s="106"/>
      <c r="E29" s="107" t="e">
        <f>ROUNDUP('Efetivo Estações'!N28,1)</f>
        <v>#VALUE!</v>
      </c>
      <c r="F29" s="304"/>
      <c r="G29" s="104"/>
      <c r="H29" s="104"/>
      <c r="I29" s="108"/>
      <c r="J29" s="107" t="e">
        <f>ROUNDUP('Efetivo Estações'!J65,1)</f>
        <v>#VALUE!</v>
      </c>
      <c r="K29" s="304"/>
      <c r="L29" s="109"/>
    </row>
    <row r="30" spans="2:12" ht="18" customHeight="1">
      <c r="B30" s="104">
        <v>21</v>
      </c>
      <c r="C30" s="105" t="s">
        <v>16</v>
      </c>
      <c r="D30" s="106"/>
      <c r="E30" s="107" t="e">
        <f>ROUNDUP('Efetivo Estações'!N29,1)</f>
        <v>#VALUE!</v>
      </c>
      <c r="F30" s="304"/>
      <c r="G30" s="104"/>
      <c r="H30" s="104"/>
      <c r="I30" s="108"/>
      <c r="J30" s="107" t="e">
        <f>ROUNDUP('Efetivo Estações'!J66,1)</f>
        <v>#VALUE!</v>
      </c>
      <c r="K30" s="304"/>
      <c r="L30" s="109"/>
    </row>
    <row r="31" spans="2:12" ht="18" customHeight="1">
      <c r="B31" s="104">
        <v>22</v>
      </c>
      <c r="C31" s="105" t="s">
        <v>17</v>
      </c>
      <c r="D31" s="106"/>
      <c r="E31" s="107" t="e">
        <f>ROUNDUP('Efetivo Estações'!N30,1)</f>
        <v>#VALUE!</v>
      </c>
      <c r="F31" s="304"/>
      <c r="G31" s="104"/>
      <c r="H31" s="104"/>
      <c r="I31" s="108"/>
      <c r="J31" s="107" t="e">
        <f>ROUNDUP('Efetivo Estações'!J67,1)</f>
        <v>#VALUE!</v>
      </c>
      <c r="K31" s="304"/>
      <c r="L31" s="109"/>
    </row>
    <row r="32" spans="2:12" ht="18" customHeight="1">
      <c r="B32" s="104">
        <v>23</v>
      </c>
      <c r="C32" s="105" t="s">
        <v>21</v>
      </c>
      <c r="D32" s="106"/>
      <c r="E32" s="107" t="e">
        <f>ROUNDUP('Efetivo Estações'!N31,1)</f>
        <v>#VALUE!</v>
      </c>
      <c r="F32" s="304"/>
      <c r="G32" s="104"/>
      <c r="H32" s="104"/>
      <c r="I32" s="108"/>
      <c r="J32" s="107" t="e">
        <f>ROUNDUP('Efetivo Estações'!J68,1)</f>
        <v>#VALUE!</v>
      </c>
      <c r="K32" s="304"/>
      <c r="L32" s="109"/>
    </row>
    <row r="33" spans="2:13" ht="18" customHeight="1">
      <c r="B33" s="104">
        <v>24</v>
      </c>
      <c r="C33" s="105" t="s">
        <v>22</v>
      </c>
      <c r="D33" s="106"/>
      <c r="E33" s="107" t="e">
        <f>ROUNDUP('Efetivo Estações'!N32,1)</f>
        <v>#VALUE!</v>
      </c>
      <c r="F33" s="304"/>
      <c r="G33" s="104"/>
      <c r="H33" s="104"/>
      <c r="I33" s="108"/>
      <c r="J33" s="107" t="e">
        <f>ROUNDUP('Efetivo Estações'!J69,1)</f>
        <v>#VALUE!</v>
      </c>
      <c r="K33" s="304"/>
      <c r="L33" s="109"/>
    </row>
    <row r="34" spans="2:13" ht="18" customHeight="1">
      <c r="B34" s="104">
        <v>25</v>
      </c>
      <c r="C34" s="105" t="s">
        <v>72</v>
      </c>
      <c r="D34" s="106"/>
      <c r="E34" s="107" t="e">
        <f>ROUNDUP('Efetivo Estações'!N33,1)</f>
        <v>#VALUE!</v>
      </c>
      <c r="F34" s="304"/>
      <c r="G34" s="104"/>
      <c r="H34" s="104"/>
      <c r="I34" s="108"/>
      <c r="J34" s="107" t="e">
        <f>ROUNDUP('Efetivo Estações'!J70,1)</f>
        <v>#VALUE!</v>
      </c>
      <c r="K34" s="304"/>
      <c r="L34" s="109"/>
    </row>
    <row r="35" spans="2:13" ht="18" customHeight="1">
      <c r="B35" s="104">
        <v>26</v>
      </c>
      <c r="C35" s="105" t="s">
        <v>23</v>
      </c>
      <c r="D35" s="106"/>
      <c r="E35" s="107" t="e">
        <f>ROUNDUP('Efetivo Estações'!N34,1)</f>
        <v>#VALUE!</v>
      </c>
      <c r="F35" s="304"/>
      <c r="G35" s="104"/>
      <c r="H35" s="104"/>
      <c r="I35" s="108"/>
      <c r="J35" s="107" t="e">
        <f>ROUNDUP('Efetivo Estações'!J71,1)</f>
        <v>#VALUE!</v>
      </c>
      <c r="K35" s="304"/>
      <c r="L35" s="109"/>
    </row>
    <row r="36" spans="2:13" ht="18" customHeight="1">
      <c r="B36" s="104">
        <v>27</v>
      </c>
      <c r="C36" s="105" t="s">
        <v>24</v>
      </c>
      <c r="D36" s="106"/>
      <c r="E36" s="107" t="e">
        <f>ROUNDUP('Efetivo Estações'!N35,1)</f>
        <v>#VALUE!</v>
      </c>
      <c r="F36" s="305"/>
      <c r="G36" s="104"/>
      <c r="H36" s="104"/>
      <c r="I36" s="108"/>
      <c r="J36" s="107" t="e">
        <f>ROUNDUP('Efetivo Estações'!J72,1)</f>
        <v>#VALUE!</v>
      </c>
      <c r="K36" s="305"/>
      <c r="L36" s="109"/>
    </row>
    <row r="37" spans="2:13" ht="18" customHeight="1">
      <c r="B37" s="104">
        <v>28</v>
      </c>
      <c r="C37" s="105" t="s">
        <v>64</v>
      </c>
      <c r="D37" s="106"/>
      <c r="E37" s="107" t="e">
        <f>ROUNDUP('Produtividade CAO - Galpões'!U21,2)</f>
        <v>#VALUE!</v>
      </c>
      <c r="F37" s="104">
        <v>1</v>
      </c>
      <c r="G37" s="104">
        <v>5</v>
      </c>
      <c r="H37" s="104">
        <v>5</v>
      </c>
      <c r="I37" s="108"/>
      <c r="J37" s="107" t="s">
        <v>4</v>
      </c>
      <c r="K37" s="110" t="s">
        <v>4</v>
      </c>
      <c r="L37" s="111"/>
    </row>
    <row r="38" spans="2:13" ht="18" customHeight="1">
      <c r="B38" s="104">
        <v>29</v>
      </c>
      <c r="C38" s="112" t="s">
        <v>69</v>
      </c>
      <c r="D38" s="113"/>
      <c r="E38" s="107" t="e">
        <f>ROUNDUP('Limpeza de trens entre viagens'!I13,2)</f>
        <v>#VALUE!</v>
      </c>
      <c r="F38" s="114"/>
      <c r="G38" s="114"/>
      <c r="H38" s="104"/>
      <c r="I38" s="108"/>
      <c r="J38" s="115" t="s">
        <v>4</v>
      </c>
      <c r="K38" s="110" t="s">
        <v>4</v>
      </c>
      <c r="L38" s="111"/>
    </row>
    <row r="39" spans="2:13" ht="18" customHeight="1">
      <c r="B39" s="104">
        <v>30</v>
      </c>
      <c r="C39" s="105" t="s">
        <v>70</v>
      </c>
      <c r="D39" s="106"/>
      <c r="E39" s="107">
        <v>1</v>
      </c>
      <c r="F39" s="104"/>
      <c r="G39" s="104"/>
      <c r="H39" s="104"/>
      <c r="I39" s="116"/>
      <c r="J39" s="107">
        <v>1</v>
      </c>
      <c r="K39" s="110" t="s">
        <v>4</v>
      </c>
      <c r="L39" s="111"/>
    </row>
    <row r="40" spans="2:13" ht="18" customHeight="1">
      <c r="B40" s="104">
        <v>31</v>
      </c>
      <c r="C40" s="117" t="s">
        <v>101</v>
      </c>
      <c r="D40" s="106"/>
      <c r="E40" s="107">
        <v>1</v>
      </c>
      <c r="F40" s="104"/>
      <c r="G40" s="104"/>
      <c r="H40" s="104"/>
      <c r="I40" s="118"/>
      <c r="J40" s="107" t="s">
        <v>4</v>
      </c>
      <c r="K40" s="110" t="s">
        <v>4</v>
      </c>
      <c r="L40" s="111"/>
    </row>
    <row r="41" spans="2:13" ht="18" customHeight="1">
      <c r="B41" s="104">
        <v>32</v>
      </c>
      <c r="C41" s="117" t="s">
        <v>110</v>
      </c>
      <c r="D41" s="106"/>
      <c r="E41" s="107"/>
      <c r="F41" s="104"/>
      <c r="G41" s="104"/>
      <c r="H41" s="104"/>
      <c r="I41" s="118"/>
      <c r="J41" s="107">
        <v>3</v>
      </c>
      <c r="K41" s="107">
        <v>1</v>
      </c>
      <c r="L41" s="111"/>
    </row>
    <row r="42" spans="2:13" ht="18" customHeight="1">
      <c r="B42" s="104">
        <v>33</v>
      </c>
      <c r="C42" s="117" t="s">
        <v>111</v>
      </c>
      <c r="D42" s="106"/>
      <c r="E42" s="107" t="e">
        <f>'Higienização Covid-19'!I13+'Higienização Covid-19'!I14</f>
        <v>#VALUE!</v>
      </c>
      <c r="F42" s="104"/>
      <c r="G42" s="104"/>
      <c r="H42" s="104"/>
      <c r="I42" s="118"/>
      <c r="J42" s="107" t="s">
        <v>4</v>
      </c>
      <c r="K42" s="110" t="s">
        <v>4</v>
      </c>
      <c r="L42" s="111"/>
    </row>
    <row r="43" spans="2:13">
      <c r="B43" s="119"/>
      <c r="C43" s="119"/>
      <c r="D43" s="119"/>
      <c r="E43" s="119"/>
      <c r="F43" s="119"/>
      <c r="G43" s="120"/>
      <c r="H43" s="120"/>
      <c r="I43" s="120"/>
      <c r="J43" s="120"/>
      <c r="K43" s="120"/>
      <c r="L43" s="111"/>
    </row>
    <row r="44" spans="2:13">
      <c r="B44" s="119"/>
      <c r="C44" s="119"/>
      <c r="D44" s="119"/>
      <c r="E44" s="119"/>
      <c r="F44" s="119"/>
      <c r="G44" s="120"/>
      <c r="H44" s="120"/>
      <c r="I44" s="120"/>
      <c r="J44" s="120"/>
      <c r="K44" s="120"/>
      <c r="L44" s="111"/>
    </row>
    <row r="45" spans="2:13" ht="21.75" customHeight="1">
      <c r="B45" s="119"/>
      <c r="C45" s="121" t="s">
        <v>73</v>
      </c>
      <c r="D45" s="106"/>
      <c r="E45" s="135" t="e">
        <f>ROUND(SUM(E10:E42),1)</f>
        <v>#VALUE!</v>
      </c>
      <c r="F45" s="100">
        <f>ROUND(SUM(F10:F42),1)</f>
        <v>7</v>
      </c>
      <c r="G45" s="100">
        <f>ROUND(SUM(G10:G42),1)</f>
        <v>5</v>
      </c>
      <c r="H45" s="100">
        <f>ROUND(SUM(H10:H42),1)</f>
        <v>5</v>
      </c>
      <c r="I45" s="100">
        <f t="shared" ref="I45" si="0">ROUND(SUM(I10:I42),1)</f>
        <v>0</v>
      </c>
      <c r="J45" s="135" t="e">
        <f>ROUND(SUM(J10:J42),1)</f>
        <v>#VALUE!</v>
      </c>
      <c r="K45" s="100">
        <f>ROUND(SUM(K10:K42),1)</f>
        <v>7</v>
      </c>
      <c r="L45" s="101" t="e">
        <f>ROUND(SUM(E45:K45),1)</f>
        <v>#VALUE!</v>
      </c>
      <c r="M45" s="102"/>
    </row>
    <row r="46" spans="2:13"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</row>
    <row r="47" spans="2:13">
      <c r="B47" s="111"/>
      <c r="C47" s="111"/>
      <c r="D47" s="111"/>
      <c r="E47" s="122"/>
      <c r="F47" s="122"/>
      <c r="G47" s="122"/>
      <c r="H47" s="122"/>
      <c r="I47" s="122"/>
      <c r="J47" s="122"/>
      <c r="K47" s="122"/>
      <c r="L47" s="123"/>
    </row>
    <row r="48" spans="2:13">
      <c r="B48" s="111"/>
      <c r="C48" s="111"/>
      <c r="D48" s="111"/>
      <c r="E48" s="134"/>
      <c r="F48" s="111"/>
      <c r="G48" s="111"/>
      <c r="H48" s="111"/>
      <c r="I48" s="111"/>
      <c r="J48" s="111"/>
      <c r="K48" s="111"/>
      <c r="L48" s="111"/>
    </row>
    <row r="49" spans="2:12" ht="34.5" customHeight="1">
      <c r="B49" s="111"/>
      <c r="D49" s="133"/>
      <c r="E49" s="311" t="s">
        <v>196</v>
      </c>
      <c r="F49" s="311"/>
      <c r="G49" s="311"/>
      <c r="H49" s="311"/>
      <c r="I49" s="111"/>
      <c r="J49" s="123"/>
      <c r="K49" s="111"/>
      <c r="L49" s="111"/>
    </row>
    <row r="50" spans="2:12">
      <c r="B50" s="111"/>
      <c r="C50" s="111"/>
      <c r="D50" s="111"/>
      <c r="E50" s="111"/>
      <c r="F50" s="111"/>
      <c r="G50" s="111"/>
      <c r="H50" s="111"/>
      <c r="I50" s="111"/>
      <c r="J50" s="111"/>
      <c r="K50" s="123"/>
      <c r="L50" s="111"/>
    </row>
    <row r="51" spans="2:12" ht="18" customHeight="1">
      <c r="B51" s="111"/>
      <c r="D51" s="111"/>
      <c r="E51" s="310" t="s">
        <v>102</v>
      </c>
      <c r="F51" s="310"/>
      <c r="G51" s="310"/>
      <c r="H51" s="124" t="e">
        <f>E45</f>
        <v>#VALUE!</v>
      </c>
      <c r="I51" s="111"/>
      <c r="J51" s="111"/>
      <c r="K51" s="111"/>
      <c r="L51" s="111"/>
    </row>
    <row r="52" spans="2:12">
      <c r="B52" s="111"/>
      <c r="D52" s="111"/>
      <c r="E52" s="310" t="s">
        <v>103</v>
      </c>
      <c r="F52" s="310"/>
      <c r="G52" s="310"/>
      <c r="H52" s="124">
        <f>F45</f>
        <v>7</v>
      </c>
      <c r="I52" s="111"/>
      <c r="J52" s="111"/>
      <c r="K52" s="111"/>
      <c r="L52" s="111"/>
    </row>
    <row r="53" spans="2:12">
      <c r="B53" s="111"/>
      <c r="D53" s="111"/>
      <c r="E53" s="310" t="s">
        <v>104</v>
      </c>
      <c r="F53" s="310"/>
      <c r="G53" s="310"/>
      <c r="H53" s="124" t="e">
        <f>J45</f>
        <v>#VALUE!</v>
      </c>
      <c r="I53" s="111"/>
      <c r="J53" s="111"/>
      <c r="K53" s="111"/>
      <c r="L53" s="111"/>
    </row>
    <row r="54" spans="2:12">
      <c r="B54" s="111"/>
      <c r="D54" s="111"/>
      <c r="E54" s="310" t="s">
        <v>105</v>
      </c>
      <c r="F54" s="310"/>
      <c r="G54" s="310"/>
      <c r="H54" s="124">
        <f>K45</f>
        <v>7</v>
      </c>
      <c r="I54" s="111"/>
      <c r="J54" s="111"/>
      <c r="K54" s="111"/>
      <c r="L54" s="111"/>
    </row>
    <row r="55" spans="2:12">
      <c r="B55" s="111"/>
      <c r="D55" s="111"/>
      <c r="E55" s="310" t="s">
        <v>74</v>
      </c>
      <c r="F55" s="310"/>
      <c r="G55" s="310"/>
      <c r="H55" s="124">
        <f>G45</f>
        <v>5</v>
      </c>
      <c r="I55" s="111"/>
      <c r="J55" s="111"/>
      <c r="K55" s="111"/>
      <c r="L55" s="111"/>
    </row>
    <row r="56" spans="2:12">
      <c r="B56" s="111"/>
      <c r="D56" s="111"/>
      <c r="E56" s="310" t="s">
        <v>1</v>
      </c>
      <c r="F56" s="310"/>
      <c r="G56" s="310"/>
      <c r="H56" s="124">
        <f>H45</f>
        <v>5</v>
      </c>
      <c r="I56" s="111"/>
      <c r="J56" s="111"/>
      <c r="K56" s="111"/>
      <c r="L56" s="111"/>
    </row>
    <row r="57" spans="2:12">
      <c r="B57" s="111"/>
      <c r="D57" s="111"/>
      <c r="E57" s="310" t="s">
        <v>198</v>
      </c>
      <c r="F57" s="310"/>
      <c r="G57" s="310"/>
      <c r="H57" s="124">
        <v>2</v>
      </c>
      <c r="I57" s="111"/>
      <c r="J57" s="111"/>
      <c r="K57" s="111"/>
      <c r="L57" s="111"/>
    </row>
    <row r="58" spans="2:12" ht="21.75" customHeight="1">
      <c r="B58" s="111"/>
      <c r="D58" s="111"/>
      <c r="E58" s="297" t="s">
        <v>47</v>
      </c>
      <c r="F58" s="297"/>
      <c r="G58" s="297"/>
      <c r="H58" s="101" t="e">
        <f>SUM(H51:H57)</f>
        <v>#VALUE!</v>
      </c>
      <c r="I58" s="111"/>
      <c r="J58" s="111"/>
      <c r="K58" s="111"/>
      <c r="L58" s="111"/>
    </row>
    <row r="59" spans="2:12">
      <c r="D59" s="111"/>
    </row>
    <row r="80" spans="3:3">
      <c r="C80" s="103"/>
    </row>
    <row r="81" spans="3:3">
      <c r="C81" s="103"/>
    </row>
  </sheetData>
  <mergeCells count="23">
    <mergeCell ref="E8:E9"/>
    <mergeCell ref="F10:F36"/>
    <mergeCell ref="E49:H49"/>
    <mergeCell ref="E56:G56"/>
    <mergeCell ref="E57:G57"/>
    <mergeCell ref="E54:G54"/>
    <mergeCell ref="E55:G55"/>
    <mergeCell ref="E58:G58"/>
    <mergeCell ref="B3:K3"/>
    <mergeCell ref="H8:H9"/>
    <mergeCell ref="J7:K7"/>
    <mergeCell ref="B5:K5"/>
    <mergeCell ref="K10:K36"/>
    <mergeCell ref="B8:B9"/>
    <mergeCell ref="F8:F9"/>
    <mergeCell ref="J8:J9"/>
    <mergeCell ref="K8:K9"/>
    <mergeCell ref="G8:G9"/>
    <mergeCell ref="E7:H7"/>
    <mergeCell ref="C8:C9"/>
    <mergeCell ref="E51:G51"/>
    <mergeCell ref="E52:G52"/>
    <mergeCell ref="E53:G53"/>
  </mergeCells>
  <pageMargins left="0.49" right="0.11811023622047245" top="1.69" bottom="0.19685039370078741" header="0.31496062992125984" footer="0.15748031496062992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C7:P65"/>
  <sheetViews>
    <sheetView workbookViewId="0">
      <selection activeCell="M22" sqref="M22"/>
    </sheetView>
  </sheetViews>
  <sheetFormatPr defaultRowHeight="15"/>
  <cols>
    <col min="3" max="3" width="10.5703125" customWidth="1"/>
    <col min="4" max="4" width="27.42578125" customWidth="1"/>
    <col min="5" max="5" width="11.28515625" customWidth="1"/>
    <col min="6" max="6" width="15.140625" customWidth="1"/>
    <col min="7" max="7" width="15.5703125" customWidth="1"/>
    <col min="8" max="8" width="17.5703125" customWidth="1"/>
    <col min="9" max="9" width="13.5703125" customWidth="1"/>
    <col min="10" max="10" width="11.7109375" bestFit="1" customWidth="1"/>
    <col min="11" max="16" width="17.5703125" customWidth="1"/>
  </cols>
  <sheetData>
    <row r="7" spans="3:16">
      <c r="C7" s="58" t="s">
        <v>115</v>
      </c>
      <c r="D7" s="58" t="s">
        <v>116</v>
      </c>
      <c r="E7" s="58" t="s">
        <v>117</v>
      </c>
      <c r="F7" s="58" t="s">
        <v>107</v>
      </c>
      <c r="G7" s="58" t="s">
        <v>118</v>
      </c>
      <c r="H7" s="58" t="s">
        <v>119</v>
      </c>
      <c r="I7" s="58" t="s">
        <v>46</v>
      </c>
      <c r="K7" s="225" t="s">
        <v>152</v>
      </c>
      <c r="L7" s="225"/>
      <c r="M7" s="225"/>
      <c r="N7" s="225"/>
      <c r="O7" s="225"/>
      <c r="P7" s="225"/>
    </row>
    <row r="8" spans="3:16">
      <c r="C8" s="323" t="s">
        <v>120</v>
      </c>
      <c r="D8" s="323"/>
      <c r="E8" s="323"/>
      <c r="F8" s="323"/>
      <c r="G8" s="323"/>
      <c r="H8" s="59" t="s">
        <v>121</v>
      </c>
      <c r="I8" s="60">
        <f>SUM(H9:H9)</f>
        <v>3290.75</v>
      </c>
    </row>
    <row r="9" spans="3:16">
      <c r="C9" s="61" t="s">
        <v>122</v>
      </c>
      <c r="D9" s="62" t="s">
        <v>123</v>
      </c>
      <c r="E9" s="63" t="s">
        <v>124</v>
      </c>
      <c r="F9" s="64">
        <v>1</v>
      </c>
      <c r="G9" s="65">
        <f>'[2]Custo contratação'!$F$14</f>
        <v>3290.75</v>
      </c>
      <c r="H9" s="66">
        <f>G9*F9</f>
        <v>3290.75</v>
      </c>
      <c r="I9" s="67"/>
      <c r="K9" s="58" t="s">
        <v>153</v>
      </c>
      <c r="L9" s="58" t="s">
        <v>154</v>
      </c>
      <c r="M9" s="58" t="s">
        <v>158</v>
      </c>
      <c r="N9" s="58" t="s">
        <v>155</v>
      </c>
      <c r="O9" s="58" t="s">
        <v>156</v>
      </c>
      <c r="P9" s="58" t="s">
        <v>157</v>
      </c>
    </row>
    <row r="10" spans="3:16">
      <c r="C10" s="68">
        <v>2</v>
      </c>
      <c r="D10" s="320" t="s">
        <v>145</v>
      </c>
      <c r="E10" s="320"/>
      <c r="F10" s="320"/>
      <c r="G10" s="320"/>
      <c r="H10" s="320"/>
      <c r="I10" s="69">
        <f>I11+I12+I13</f>
        <v>815.49198250728932</v>
      </c>
      <c r="K10" s="39" t="s">
        <v>149</v>
      </c>
      <c r="L10" s="39">
        <f>'Produtividade Estações'!D11</f>
        <v>3178.3</v>
      </c>
      <c r="M10" s="88" t="e">
        <f>'Produtividade Estações'!G11</f>
        <v>#VALUE!</v>
      </c>
      <c r="N10" s="314">
        <f>H22</f>
        <v>4106.2419825072893</v>
      </c>
      <c r="O10" s="87" t="e">
        <f>M10*N10</f>
        <v>#VALUE!</v>
      </c>
      <c r="P10" s="89" t="e">
        <f>O10/L10</f>
        <v>#VALUE!</v>
      </c>
    </row>
    <row r="11" spans="3:16" ht="14.25" customHeight="1">
      <c r="C11" s="70" t="s">
        <v>127</v>
      </c>
      <c r="D11" s="63" t="s">
        <v>128</v>
      </c>
      <c r="E11" s="324">
        <v>0.02</v>
      </c>
      <c r="F11" s="324"/>
      <c r="G11" s="71">
        <f>I8*E11</f>
        <v>65.814999999999998</v>
      </c>
      <c r="H11" s="72" t="s">
        <v>129</v>
      </c>
      <c r="I11" s="73">
        <f>G11</f>
        <v>65.814999999999998</v>
      </c>
      <c r="K11" s="39" t="s">
        <v>148</v>
      </c>
      <c r="L11" s="39">
        <f>'Produtividade Estações'!D55</f>
        <v>0</v>
      </c>
      <c r="M11" s="88" t="e">
        <f>'Produtividade Estações'!G55</f>
        <v>#VALUE!</v>
      </c>
      <c r="N11" s="315"/>
      <c r="O11" s="87" t="e">
        <f>M11*N10</f>
        <v>#VALUE!</v>
      </c>
      <c r="P11" s="89">
        <v>0</v>
      </c>
    </row>
    <row r="12" spans="3:16" ht="14.25" customHeight="1">
      <c r="C12" s="70" t="s">
        <v>130</v>
      </c>
      <c r="D12" s="63" t="s">
        <v>131</v>
      </c>
      <c r="E12" s="324">
        <v>0.05</v>
      </c>
      <c r="F12" s="324"/>
      <c r="G12" s="74">
        <f>I8*E12</f>
        <v>164.53750000000002</v>
      </c>
      <c r="H12" s="72" t="s">
        <v>132</v>
      </c>
      <c r="I12" s="73">
        <f>G12</f>
        <v>164.53750000000002</v>
      </c>
      <c r="K12" s="39" t="s">
        <v>150</v>
      </c>
      <c r="L12" s="39">
        <f>'Produtividade Estações'!D99</f>
        <v>25.12</v>
      </c>
      <c r="M12" s="88" t="e">
        <f>'Produtividade Estações'!G99</f>
        <v>#VALUE!</v>
      </c>
      <c r="N12" s="315"/>
      <c r="O12" s="87" t="e">
        <f>M12*N10</f>
        <v>#VALUE!</v>
      </c>
      <c r="P12" s="89" t="e">
        <f t="shared" ref="P12:P13" si="0">O12/L12</f>
        <v>#VALUE!</v>
      </c>
    </row>
    <row r="13" spans="3:16" ht="14.25" customHeight="1">
      <c r="C13" s="68">
        <v>3</v>
      </c>
      <c r="D13" s="320" t="s">
        <v>146</v>
      </c>
      <c r="E13" s="320"/>
      <c r="F13" s="320"/>
      <c r="G13" s="68" t="s">
        <v>147</v>
      </c>
      <c r="H13" s="75">
        <f>SUM(E14:F16)</f>
        <v>0.14250000000000002</v>
      </c>
      <c r="I13" s="76">
        <f>G21</f>
        <v>585.13948250728936</v>
      </c>
      <c r="K13" s="39" t="s">
        <v>151</v>
      </c>
      <c r="L13" s="39">
        <f>'Produtividade Estações'!D134</f>
        <v>745.39</v>
      </c>
      <c r="M13" s="88" t="e">
        <f>'Produtividade Estações'!G134</f>
        <v>#VALUE!</v>
      </c>
      <c r="N13" s="316"/>
      <c r="O13" s="87" t="e">
        <f>N10*M13</f>
        <v>#VALUE!</v>
      </c>
      <c r="P13" s="89" t="e">
        <f t="shared" si="0"/>
        <v>#VALUE!</v>
      </c>
    </row>
    <row r="14" spans="3:16" ht="14.25" customHeight="1">
      <c r="C14" s="77" t="s">
        <v>133</v>
      </c>
      <c r="D14" s="78" t="s">
        <v>134</v>
      </c>
      <c r="E14" s="321">
        <v>0.05</v>
      </c>
      <c r="F14" s="321"/>
      <c r="G14" s="79"/>
      <c r="H14" s="80"/>
      <c r="I14" s="81"/>
      <c r="K14" s="39"/>
      <c r="L14" s="39"/>
      <c r="M14" s="88" t="e">
        <f>SUM(M10:M13)</f>
        <v>#VALUE!</v>
      </c>
      <c r="N14" s="39"/>
      <c r="O14" s="39"/>
      <c r="P14" s="39"/>
    </row>
    <row r="15" spans="3:16" ht="14.25" customHeight="1">
      <c r="C15" s="77" t="s">
        <v>135</v>
      </c>
      <c r="D15" s="78" t="s">
        <v>136</v>
      </c>
      <c r="E15" s="321">
        <v>7.5999999999999998E-2</v>
      </c>
      <c r="F15" s="321"/>
      <c r="G15" s="79"/>
      <c r="H15" s="81"/>
      <c r="I15" s="81"/>
    </row>
    <row r="16" spans="3:16" ht="14.25" customHeight="1">
      <c r="C16" s="77" t="s">
        <v>137</v>
      </c>
      <c r="D16" s="78" t="s">
        <v>138</v>
      </c>
      <c r="E16" s="321">
        <v>1.6500000000000001E-2</v>
      </c>
      <c r="F16" s="321"/>
      <c r="G16" s="79"/>
      <c r="H16" s="81"/>
      <c r="I16" s="81"/>
    </row>
    <row r="17" spans="3:13" ht="14.25" customHeight="1">
      <c r="C17" s="320" t="s">
        <v>139</v>
      </c>
      <c r="D17" s="320"/>
      <c r="E17" s="320"/>
      <c r="F17" s="320"/>
      <c r="G17" s="320"/>
      <c r="H17" s="320"/>
      <c r="I17" s="320"/>
    </row>
    <row r="18" spans="3:13" ht="14.25" customHeight="1">
      <c r="C18" s="318" t="s">
        <v>140</v>
      </c>
      <c r="D18" s="318"/>
      <c r="E18" s="318"/>
      <c r="F18" s="318"/>
      <c r="G18" s="322">
        <f>SUM(E14:F16)</f>
        <v>0.14250000000000002</v>
      </c>
      <c r="H18" s="317"/>
      <c r="I18" s="317"/>
    </row>
    <row r="19" spans="3:13" ht="14.25" customHeight="1">
      <c r="C19" s="317" t="s">
        <v>141</v>
      </c>
      <c r="D19" s="317"/>
      <c r="E19" s="317"/>
      <c r="F19" s="317"/>
      <c r="G19" s="318">
        <f>I8+I11+I12</f>
        <v>3521.1025</v>
      </c>
      <c r="H19" s="317"/>
      <c r="I19" s="317"/>
    </row>
    <row r="20" spans="3:13" ht="14.25" customHeight="1">
      <c r="C20" s="317" t="s">
        <v>142</v>
      </c>
      <c r="D20" s="317"/>
      <c r="E20" s="317"/>
      <c r="F20" s="317"/>
      <c r="G20" s="319">
        <f>G19/(1-G18)</f>
        <v>4106.2419825072893</v>
      </c>
      <c r="H20" s="319"/>
      <c r="I20" s="319"/>
    </row>
    <row r="21" spans="3:13" ht="14.25" customHeight="1">
      <c r="C21" s="317" t="s">
        <v>143</v>
      </c>
      <c r="D21" s="317"/>
      <c r="E21" s="317"/>
      <c r="F21" s="317"/>
      <c r="G21" s="318">
        <f>G20-G19</f>
        <v>585.13948250728936</v>
      </c>
      <c r="H21" s="317"/>
      <c r="I21" s="317"/>
    </row>
    <row r="22" spans="3:13" ht="14.25" customHeight="1">
      <c r="C22" s="312" t="s">
        <v>144</v>
      </c>
      <c r="D22" s="312"/>
      <c r="E22" s="312"/>
      <c r="F22" s="312"/>
      <c r="G22" s="312"/>
      <c r="H22" s="313">
        <f>G20</f>
        <v>4106.2419825072893</v>
      </c>
      <c r="I22" s="313"/>
    </row>
    <row r="27" spans="3:13">
      <c r="I27" s="83"/>
      <c r="L27" s="1"/>
      <c r="M27" s="1"/>
    </row>
    <row r="28" spans="3:13">
      <c r="I28" s="83"/>
      <c r="J28" s="86"/>
      <c r="L28" s="57"/>
    </row>
    <row r="29" spans="3:13">
      <c r="I29" s="83"/>
      <c r="J29" s="86"/>
      <c r="L29" s="57"/>
    </row>
    <row r="30" spans="3:13">
      <c r="I30" s="83"/>
      <c r="J30" s="86"/>
      <c r="L30" s="57"/>
    </row>
    <row r="31" spans="3:13">
      <c r="I31" s="83"/>
      <c r="J31" s="86"/>
      <c r="L31" s="57"/>
    </row>
    <row r="32" spans="3:13">
      <c r="G32" s="82"/>
    </row>
    <row r="33" spans="3:11">
      <c r="I33" s="83"/>
      <c r="J33" s="83"/>
      <c r="K33" s="83"/>
    </row>
    <row r="34" spans="3:11">
      <c r="C34" s="1"/>
      <c r="D34" s="1"/>
    </row>
    <row r="35" spans="3:11">
      <c r="C35" s="1"/>
      <c r="D35" s="1"/>
      <c r="F35" s="82"/>
      <c r="G35" s="84"/>
      <c r="H35" s="85"/>
    </row>
    <row r="36" spans="3:11">
      <c r="C36" s="1"/>
      <c r="D36" s="1"/>
    </row>
    <row r="37" spans="3:11">
      <c r="C37" s="1"/>
      <c r="D37" s="1"/>
    </row>
    <row r="39" spans="3:11">
      <c r="G39" s="83"/>
    </row>
    <row r="41" spans="3:11">
      <c r="C41" s="58" t="s">
        <v>115</v>
      </c>
      <c r="D41" s="58" t="s">
        <v>116</v>
      </c>
      <c r="E41" s="58" t="s">
        <v>117</v>
      </c>
      <c r="F41" s="58" t="s">
        <v>107</v>
      </c>
      <c r="G41" s="58" t="s">
        <v>118</v>
      </c>
      <c r="H41" s="58" t="s">
        <v>119</v>
      </c>
      <c r="I41" s="58" t="s">
        <v>46</v>
      </c>
    </row>
    <row r="42" spans="3:11">
      <c r="C42" s="323" t="s">
        <v>120</v>
      </c>
      <c r="D42" s="323"/>
      <c r="E42" s="323"/>
      <c r="F42" s="323"/>
      <c r="G42" s="323"/>
      <c r="H42" s="59" t="s">
        <v>121</v>
      </c>
      <c r="I42" s="60">
        <f>SUM(H43:H44)</f>
        <v>3290.75</v>
      </c>
    </row>
    <row r="43" spans="3:11">
      <c r="C43" s="61" t="s">
        <v>122</v>
      </c>
      <c r="D43" s="62" t="s">
        <v>123</v>
      </c>
      <c r="E43" s="63" t="s">
        <v>124</v>
      </c>
      <c r="F43" s="64">
        <v>1</v>
      </c>
      <c r="G43" s="65">
        <f>'[2]Custo contratação'!$F$14</f>
        <v>3290.75</v>
      </c>
      <c r="H43" s="66">
        <f>G43*F43</f>
        <v>3290.75</v>
      </c>
      <c r="I43" s="67"/>
    </row>
    <row r="44" spans="3:11">
      <c r="C44" s="61" t="s">
        <v>125</v>
      </c>
      <c r="D44" s="62" t="s">
        <v>126</v>
      </c>
      <c r="E44" s="63" t="s">
        <v>124</v>
      </c>
      <c r="F44" s="64"/>
      <c r="G44" s="65"/>
      <c r="H44" s="66">
        <f t="shared" ref="H44" si="1">G44*F44</f>
        <v>0</v>
      </c>
      <c r="I44" s="67"/>
    </row>
    <row r="45" spans="3:11">
      <c r="C45" s="68">
        <v>2</v>
      </c>
      <c r="D45" s="320" t="s">
        <v>145</v>
      </c>
      <c r="E45" s="320"/>
      <c r="F45" s="320"/>
      <c r="G45" s="320"/>
      <c r="H45" s="320"/>
      <c r="I45" s="69">
        <f>I46+I47+I48</f>
        <v>815.49198250728932</v>
      </c>
    </row>
    <row r="46" spans="3:11">
      <c r="C46" s="70" t="s">
        <v>127</v>
      </c>
      <c r="D46" s="63" t="s">
        <v>128</v>
      </c>
      <c r="E46" s="324">
        <v>0.02</v>
      </c>
      <c r="F46" s="324"/>
      <c r="G46" s="71">
        <f>I42*E46</f>
        <v>65.814999999999998</v>
      </c>
      <c r="H46" s="72" t="s">
        <v>129</v>
      </c>
      <c r="I46" s="73">
        <f>G46</f>
        <v>65.814999999999998</v>
      </c>
    </row>
    <row r="47" spans="3:11">
      <c r="C47" s="70" t="s">
        <v>130</v>
      </c>
      <c r="D47" s="63" t="s">
        <v>131</v>
      </c>
      <c r="E47" s="324">
        <v>0.05</v>
      </c>
      <c r="F47" s="324"/>
      <c r="G47" s="74">
        <f>I42*E47</f>
        <v>164.53750000000002</v>
      </c>
      <c r="H47" s="72" t="s">
        <v>132</v>
      </c>
      <c r="I47" s="73">
        <f>G47</f>
        <v>164.53750000000002</v>
      </c>
    </row>
    <row r="48" spans="3:11">
      <c r="C48" s="68">
        <v>3</v>
      </c>
      <c r="D48" s="320" t="s">
        <v>146</v>
      </c>
      <c r="E48" s="320"/>
      <c r="F48" s="320"/>
      <c r="G48" s="68" t="s">
        <v>147</v>
      </c>
      <c r="H48" s="75">
        <f>SUM(E49:F51)</f>
        <v>0.14250000000000002</v>
      </c>
      <c r="I48" s="76">
        <f>G56</f>
        <v>585.13948250728936</v>
      </c>
    </row>
    <row r="49" spans="3:9">
      <c r="C49" s="77" t="s">
        <v>133</v>
      </c>
      <c r="D49" s="78" t="s">
        <v>134</v>
      </c>
      <c r="E49" s="321">
        <v>0.05</v>
      </c>
      <c r="F49" s="321"/>
      <c r="G49" s="79"/>
      <c r="H49" s="80"/>
      <c r="I49" s="81"/>
    </row>
    <row r="50" spans="3:9">
      <c r="C50" s="77" t="s">
        <v>135</v>
      </c>
      <c r="D50" s="78" t="s">
        <v>136</v>
      </c>
      <c r="E50" s="321">
        <v>7.5999999999999998E-2</v>
      </c>
      <c r="F50" s="321"/>
      <c r="G50" s="79"/>
      <c r="H50" s="81"/>
      <c r="I50" s="81"/>
    </row>
    <row r="51" spans="3:9">
      <c r="C51" s="77" t="s">
        <v>137</v>
      </c>
      <c r="D51" s="78" t="s">
        <v>138</v>
      </c>
      <c r="E51" s="321">
        <v>1.6500000000000001E-2</v>
      </c>
      <c r="F51" s="321"/>
      <c r="G51" s="79"/>
      <c r="H51" s="81"/>
      <c r="I51" s="81"/>
    </row>
    <row r="52" spans="3:9">
      <c r="C52" s="320" t="s">
        <v>139</v>
      </c>
      <c r="D52" s="320"/>
      <c r="E52" s="320"/>
      <c r="F52" s="320"/>
      <c r="G52" s="320"/>
      <c r="H52" s="320"/>
      <c r="I52" s="320"/>
    </row>
    <row r="53" spans="3:9">
      <c r="C53" s="318" t="s">
        <v>140</v>
      </c>
      <c r="D53" s="318"/>
      <c r="E53" s="318"/>
      <c r="F53" s="318"/>
      <c r="G53" s="322">
        <f>SUM(E49:F51)</f>
        <v>0.14250000000000002</v>
      </c>
      <c r="H53" s="317"/>
      <c r="I53" s="317"/>
    </row>
    <row r="54" spans="3:9">
      <c r="C54" s="317" t="s">
        <v>141</v>
      </c>
      <c r="D54" s="317"/>
      <c r="E54" s="317"/>
      <c r="F54" s="317"/>
      <c r="G54" s="318">
        <f>I42+I46+I47</f>
        <v>3521.1025</v>
      </c>
      <c r="H54" s="317"/>
      <c r="I54" s="317"/>
    </row>
    <row r="55" spans="3:9">
      <c r="C55" s="317" t="s">
        <v>142</v>
      </c>
      <c r="D55" s="317"/>
      <c r="E55" s="317"/>
      <c r="F55" s="317"/>
      <c r="G55" s="319">
        <f>G54/(1-G53)</f>
        <v>4106.2419825072893</v>
      </c>
      <c r="H55" s="319"/>
      <c r="I55" s="319"/>
    </row>
    <row r="56" spans="3:9">
      <c r="C56" s="317" t="s">
        <v>143</v>
      </c>
      <c r="D56" s="317"/>
      <c r="E56" s="317"/>
      <c r="F56" s="317"/>
      <c r="G56" s="318">
        <f>G55-G54</f>
        <v>585.13948250728936</v>
      </c>
      <c r="H56" s="317"/>
      <c r="I56" s="317"/>
    </row>
    <row r="57" spans="3:9">
      <c r="C57" s="312" t="s">
        <v>144</v>
      </c>
      <c r="D57" s="312"/>
      <c r="E57" s="312"/>
      <c r="F57" s="312"/>
      <c r="G57" s="312"/>
      <c r="H57" s="313">
        <f>G55</f>
        <v>4106.2419825072893</v>
      </c>
      <c r="I57" s="313"/>
    </row>
    <row r="60" spans="3:9">
      <c r="C60" s="1" t="s">
        <v>148</v>
      </c>
      <c r="D60" s="1">
        <f>'Produtividade Estações'!D81</f>
        <v>1034.23</v>
      </c>
      <c r="E60" s="1" t="e">
        <f>'Produtividade Estações'!L81</f>
        <v>#VALUE!</v>
      </c>
      <c r="F60" s="1"/>
      <c r="G60" s="1"/>
      <c r="H60" s="1"/>
    </row>
    <row r="61" spans="3:9">
      <c r="C61" s="1" t="s">
        <v>149</v>
      </c>
      <c r="D61" s="1">
        <f>'Produtividade Estações'!D37</f>
        <v>2819.99</v>
      </c>
      <c r="E61" s="1" t="e">
        <f>'Produtividade Estações'!L37</f>
        <v>#VALUE!</v>
      </c>
      <c r="F61" s="82" t="e">
        <f>#REF!</f>
        <v>#REF!</v>
      </c>
      <c r="G61" s="84" t="e">
        <f>F61*E61</f>
        <v>#REF!</v>
      </c>
      <c r="H61" s="85" t="e">
        <f>G61/D61</f>
        <v>#REF!</v>
      </c>
    </row>
    <row r="62" spans="3:9">
      <c r="C62" s="1" t="s">
        <v>150</v>
      </c>
      <c r="D62" s="1">
        <f>'Produtividade Estações'!D125</f>
        <v>117.06</v>
      </c>
      <c r="E62" s="1">
        <v>0</v>
      </c>
      <c r="F62" s="1"/>
      <c r="G62" s="1"/>
      <c r="H62" s="1"/>
    </row>
    <row r="63" spans="3:9">
      <c r="C63" s="1" t="s">
        <v>151</v>
      </c>
      <c r="D63" s="1">
        <f>'Produtividade Estações'!D160</f>
        <v>117.02</v>
      </c>
      <c r="E63" s="1">
        <v>0</v>
      </c>
      <c r="F63" s="1"/>
      <c r="G63" s="1"/>
      <c r="H63" s="1"/>
    </row>
    <row r="64" spans="3:9">
      <c r="C64" s="1"/>
      <c r="D64" s="1"/>
      <c r="E64" s="1"/>
      <c r="F64" s="1"/>
      <c r="G64" s="1"/>
      <c r="H64" s="1"/>
    </row>
    <row r="65" spans="3:8">
      <c r="C65" s="1"/>
      <c r="D65" s="1"/>
      <c r="E65" s="1"/>
      <c r="F65" s="1"/>
      <c r="G65" s="83" t="e">
        <f>G61+G58</f>
        <v>#REF!</v>
      </c>
      <c r="H65" s="1"/>
    </row>
  </sheetData>
  <mergeCells count="40">
    <mergeCell ref="C8:G8"/>
    <mergeCell ref="E11:F11"/>
    <mergeCell ref="E12:F12"/>
    <mergeCell ref="C22:G22"/>
    <mergeCell ref="H22:I22"/>
    <mergeCell ref="D10:H10"/>
    <mergeCell ref="D13:F13"/>
    <mergeCell ref="C19:F19"/>
    <mergeCell ref="G19:I19"/>
    <mergeCell ref="C20:F20"/>
    <mergeCell ref="G20:I20"/>
    <mergeCell ref="C21:F21"/>
    <mergeCell ref="G21:I21"/>
    <mergeCell ref="E14:F14"/>
    <mergeCell ref="E15:F15"/>
    <mergeCell ref="E16:F16"/>
    <mergeCell ref="C17:I17"/>
    <mergeCell ref="C18:F18"/>
    <mergeCell ref="G18:I18"/>
    <mergeCell ref="G53:I53"/>
    <mergeCell ref="C42:G42"/>
    <mergeCell ref="D45:H45"/>
    <mergeCell ref="E46:F46"/>
    <mergeCell ref="E47:F47"/>
    <mergeCell ref="C57:G57"/>
    <mergeCell ref="H57:I57"/>
    <mergeCell ref="K7:P7"/>
    <mergeCell ref="N10:N13"/>
    <mergeCell ref="C54:F54"/>
    <mergeCell ref="G54:I54"/>
    <mergeCell ref="C55:F55"/>
    <mergeCell ref="G55:I55"/>
    <mergeCell ref="C56:F56"/>
    <mergeCell ref="G56:I56"/>
    <mergeCell ref="D48:F48"/>
    <mergeCell ref="E49:F49"/>
    <mergeCell ref="E50:F50"/>
    <mergeCell ref="E51:F51"/>
    <mergeCell ref="C52:I52"/>
    <mergeCell ref="C53:F5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6</vt:i4>
      </vt:variant>
    </vt:vector>
  </HeadingPairs>
  <TitlesOfParts>
    <vt:vector size="14" baseType="lpstr">
      <vt:lpstr>Produtividade Estações</vt:lpstr>
      <vt:lpstr>Banheiros</vt:lpstr>
      <vt:lpstr>Efetivo Estações</vt:lpstr>
      <vt:lpstr>Produtividade CAO - Galpões</vt:lpstr>
      <vt:lpstr>Limpeza de trens entre viagens</vt:lpstr>
      <vt:lpstr>Higienização Covid-19</vt:lpstr>
      <vt:lpstr>Resumo Efetivo</vt:lpstr>
      <vt:lpstr>Plan1</vt:lpstr>
      <vt:lpstr>Banheiros!Area_de_impressao</vt:lpstr>
      <vt:lpstr>'Efetivo Estações'!Area_de_impressao</vt:lpstr>
      <vt:lpstr>'Higienização Covid-19'!Area_de_impressao</vt:lpstr>
      <vt:lpstr>'Limpeza de trens entre viagens'!Area_de_impressao</vt:lpstr>
      <vt:lpstr>'Produtividade CAO - Galpões'!Area_de_impressao</vt:lpstr>
      <vt:lpstr>'Produtividade Estações'!Area_de_impressao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andersonfs</dc:creator>
  <cp:lastModifiedBy>isadora.taquary</cp:lastModifiedBy>
  <cp:lastPrinted>2021-04-08T20:51:32Z</cp:lastPrinted>
  <dcterms:created xsi:type="dcterms:W3CDTF">2016-08-18T19:47:14Z</dcterms:created>
  <dcterms:modified xsi:type="dcterms:W3CDTF">2021-07-23T17:24:59Z</dcterms:modified>
</cp:coreProperties>
</file>