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 defaultThemeVersion="124226"/>
  <bookViews>
    <workbookView xWindow="210" yWindow="-15" windowWidth="10245" windowHeight="10065"/>
  </bookViews>
  <sheets>
    <sheet name="ANEXO V- Planilha Orçamentária" sheetId="1" r:id="rId1"/>
    <sheet name="ANEXO VI - Curva ABC" sheetId="7" r:id="rId2"/>
    <sheet name="ANEXO VII - Cronograma" sheetId="9" r:id="rId3"/>
    <sheet name="CPU_P.UNITARIO" sheetId="17" r:id="rId4"/>
    <sheet name="VIII - ENC.POR CARGO. FUNÇÃO" sheetId="19" r:id="rId5"/>
    <sheet name="Encargos Complementares" sheetId="21" r:id="rId6"/>
    <sheet name="Plan1" sheetId="20" r:id="rId7"/>
  </sheets>
  <externalReferences>
    <externalReference r:id="rId8"/>
  </externalReferences>
  <definedNames>
    <definedName name="_xlnm._FilterDatabase" localSheetId="0" hidden="1">'ANEXO V- Planilha Orçamentária'!$A$8:$H$8</definedName>
    <definedName name="_xlnm._FilterDatabase" localSheetId="1" hidden="1">'ANEXO VI - Curva ABC'!$A$2:$D$121</definedName>
    <definedName name="_xlnm._FilterDatabase" localSheetId="3" hidden="1">CPU_P.UNITARIO!$E$1:$E$482</definedName>
    <definedName name="_xlnm._FilterDatabase" localSheetId="6" hidden="1">Plan1!$A$1:$C$143</definedName>
    <definedName name="_xlnm.Print_Area" localSheetId="0">'ANEXO V- Planilha Orçamentária'!$A$1:$H$168</definedName>
    <definedName name="_xlnm.Print_Area" localSheetId="1">'ANEXO VI - Curva ABC'!$A$1:$M$138</definedName>
    <definedName name="_xlnm.Print_Area" localSheetId="2">'ANEXO VII - Cronograma'!$A$2:$Q$33</definedName>
    <definedName name="_xlnm.Print_Area" localSheetId="3">CPU_P.UNITARIO!$A$1:$F$291</definedName>
    <definedName name="_xlnm.Print_Area" localSheetId="5">'Encargos Complementares'!$A$1:$F$88</definedName>
    <definedName name="_xlnm.Print_Area" localSheetId="4">'VIII - ENC.POR CARGO. FUNÇÃO'!$A$1:$R$16</definedName>
    <definedName name="_xlnm.Print_Titles" localSheetId="0">'ANEXO V- Planilha Orçamentária'!$1:$7</definedName>
    <definedName name="_xlnm.Print_Titles" localSheetId="1">'ANEXO VI - Curva ABC'!$1:$2</definedName>
    <definedName name="_xlnm.Print_Titles" localSheetId="3">CPU_P.UNITARIO!$1:$1</definedName>
  </definedNames>
  <calcPr calcId="125725"/>
</workbook>
</file>

<file path=xl/calcChain.xml><?xml version="1.0" encoding="utf-8"?>
<calcChain xmlns="http://schemas.openxmlformats.org/spreadsheetml/2006/main">
  <c r="C94" i="7"/>
  <c r="C91"/>
  <c r="C62"/>
  <c r="C43"/>
  <c r="C54"/>
  <c r="C53"/>
  <c r="C52"/>
  <c r="C57"/>
  <c r="C41"/>
  <c r="C36"/>
  <c r="C81"/>
  <c r="C121"/>
  <c r="C123"/>
  <c r="C116"/>
  <c r="C120"/>
  <c r="C34"/>
  <c r="C107"/>
  <c r="C104"/>
  <c r="C117"/>
  <c r="C61"/>
  <c r="C66"/>
  <c r="C72"/>
  <c r="C87"/>
  <c r="C86"/>
  <c r="C88"/>
  <c r="C59"/>
  <c r="C23"/>
  <c r="C39"/>
  <c r="C16"/>
  <c r="C78"/>
  <c r="C92"/>
  <c r="C20"/>
  <c r="C17"/>
  <c r="C27"/>
  <c r="C25"/>
  <c r="C26"/>
  <c r="C30"/>
  <c r="C19"/>
  <c r="C31"/>
  <c r="C18"/>
  <c r="C35"/>
  <c r="C46"/>
  <c r="C64"/>
  <c r="C68"/>
  <c r="C76"/>
  <c r="C24"/>
  <c r="C112"/>
  <c r="C97"/>
  <c r="C65"/>
  <c r="C70"/>
  <c r="C55"/>
  <c r="C99"/>
  <c r="C110"/>
  <c r="C113"/>
  <c r="C114"/>
  <c r="C111"/>
  <c r="C63"/>
  <c r="C67"/>
  <c r="C49"/>
  <c r="C5"/>
  <c r="C6"/>
  <c r="C9"/>
  <c r="C11"/>
  <c r="C14"/>
  <c r="C7"/>
  <c r="C126"/>
  <c r="C4"/>
  <c r="C8"/>
  <c r="C10"/>
  <c r="C12"/>
  <c r="C15"/>
  <c r="C22"/>
  <c r="C28"/>
  <c r="C29"/>
  <c r="C21"/>
  <c r="C37"/>
  <c r="C33"/>
  <c r="C69"/>
  <c r="C77"/>
  <c r="C48"/>
  <c r="C40"/>
  <c r="C38"/>
  <c r="C95"/>
  <c r="C73"/>
  <c r="C74"/>
  <c r="C42"/>
  <c r="C58"/>
  <c r="C56"/>
  <c r="C45"/>
  <c r="C71"/>
  <c r="C82"/>
  <c r="C50"/>
  <c r="C51"/>
  <c r="C44"/>
  <c r="C83"/>
  <c r="C89"/>
  <c r="C84"/>
  <c r="C85"/>
  <c r="C90"/>
  <c r="C32"/>
  <c r="C93"/>
  <c r="C60"/>
  <c r="C13"/>
  <c r="C80"/>
  <c r="C103"/>
  <c r="C101"/>
  <c r="C79"/>
  <c r="C47"/>
  <c r="C109"/>
  <c r="C102"/>
  <c r="C106"/>
  <c r="C105"/>
  <c r="C115"/>
  <c r="C100"/>
  <c r="C108"/>
  <c r="C98"/>
  <c r="C118"/>
  <c r="C119"/>
  <c r="C122"/>
  <c r="C124"/>
  <c r="C125"/>
  <c r="C3"/>
  <c r="C127"/>
  <c r="C75" l="1"/>
  <c r="C96"/>
  <c r="C128"/>
  <c r="K122" s="1"/>
  <c r="K11" l="1"/>
  <c r="K19"/>
  <c r="K27"/>
  <c r="K31"/>
  <c r="K35"/>
  <c r="K39"/>
  <c r="K43"/>
  <c r="K47"/>
  <c r="K51"/>
  <c r="K55"/>
  <c r="K59"/>
  <c r="K63"/>
  <c r="K67"/>
  <c r="K71"/>
  <c r="K75"/>
  <c r="K79"/>
  <c r="K83"/>
  <c r="K87"/>
  <c r="K91"/>
  <c r="K95"/>
  <c r="K99"/>
  <c r="K103"/>
  <c r="K107"/>
  <c r="K111"/>
  <c r="K115"/>
  <c r="K119"/>
  <c r="K123"/>
  <c r="K112"/>
  <c r="K120"/>
  <c r="K127"/>
  <c r="K6"/>
  <c r="K10"/>
  <c r="K14"/>
  <c r="K18"/>
  <c r="K22"/>
  <c r="K26"/>
  <c r="K30"/>
  <c r="K34"/>
  <c r="K38"/>
  <c r="K42"/>
  <c r="K46"/>
  <c r="K50"/>
  <c r="K54"/>
  <c r="K58"/>
  <c r="K62"/>
  <c r="K66"/>
  <c r="K70"/>
  <c r="K74"/>
  <c r="K78"/>
  <c r="K82"/>
  <c r="K86"/>
  <c r="K90"/>
  <c r="K94"/>
  <c r="K98"/>
  <c r="K102"/>
  <c r="K106"/>
  <c r="K110"/>
  <c r="K118"/>
  <c r="K126"/>
  <c r="K7"/>
  <c r="K15"/>
  <c r="K23"/>
  <c r="K5"/>
  <c r="K9"/>
  <c r="K13"/>
  <c r="K17"/>
  <c r="K21"/>
  <c r="K25"/>
  <c r="K29"/>
  <c r="K33"/>
  <c r="K37"/>
  <c r="K41"/>
  <c r="K45"/>
  <c r="K49"/>
  <c r="K53"/>
  <c r="K57"/>
  <c r="K61"/>
  <c r="K65"/>
  <c r="K69"/>
  <c r="K73"/>
  <c r="K77"/>
  <c r="K81"/>
  <c r="K85"/>
  <c r="K89"/>
  <c r="K93"/>
  <c r="K97"/>
  <c r="K101"/>
  <c r="K105"/>
  <c r="K109"/>
  <c r="K113"/>
  <c r="K117"/>
  <c r="K121"/>
  <c r="K125"/>
  <c r="K116"/>
  <c r="K124"/>
  <c r="K4"/>
  <c r="K8"/>
  <c r="K12"/>
  <c r="K16"/>
  <c r="K20"/>
  <c r="K24"/>
  <c r="K28"/>
  <c r="K32"/>
  <c r="K36"/>
  <c r="K40"/>
  <c r="K44"/>
  <c r="K48"/>
  <c r="K52"/>
  <c r="K56"/>
  <c r="K60"/>
  <c r="K64"/>
  <c r="K68"/>
  <c r="K72"/>
  <c r="K76"/>
  <c r="K80"/>
  <c r="K84"/>
  <c r="K88"/>
  <c r="K92"/>
  <c r="K96"/>
  <c r="K100"/>
  <c r="K104"/>
  <c r="K108"/>
  <c r="K114"/>
  <c r="B152" i="1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89"/>
  <c r="B88"/>
  <c r="B87"/>
  <c r="B86"/>
  <c r="B85"/>
  <c r="B84"/>
  <c r="B83"/>
  <c r="B82"/>
  <c r="B81"/>
  <c r="B80"/>
  <c r="B79"/>
  <c r="B78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6"/>
  <c r="B35"/>
  <c r="B34"/>
  <c r="B33"/>
  <c r="B30"/>
  <c r="B29"/>
  <c r="B28"/>
  <c r="B27"/>
  <c r="B25"/>
  <c r="B21"/>
  <c r="B20"/>
  <c r="B18"/>
  <c r="B17"/>
  <c r="B16"/>
  <c r="B12"/>
  <c r="B11"/>
  <c r="Q169"/>
  <c r="Q168"/>
  <c r="Q167"/>
  <c r="Q166"/>
  <c r="Q165"/>
  <c r="Q164"/>
  <c r="Q163"/>
  <c r="Q162"/>
  <c r="Q161"/>
  <c r="Q160"/>
  <c r="Q159"/>
  <c r="Q158"/>
  <c r="Q157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28"/>
  <c r="Q123"/>
  <c r="Q122"/>
  <c r="Q121"/>
  <c r="Q120"/>
  <c r="Q119"/>
  <c r="Q118"/>
  <c r="Q116"/>
  <c r="Q114"/>
  <c r="Q104"/>
  <c r="Q103"/>
  <c r="Q102"/>
  <c r="Q101"/>
  <c r="Q100"/>
  <c r="Q99"/>
  <c r="Q98"/>
  <c r="Q97"/>
  <c r="Q96"/>
  <c r="Q95"/>
  <c r="Q94"/>
  <c r="Q93"/>
  <c r="Q92"/>
  <c r="Q91"/>
  <c r="Q90"/>
  <c r="Q75"/>
  <c r="Q74"/>
  <c r="Q73"/>
  <c r="Q69"/>
  <c r="Q68"/>
  <c r="Q67"/>
  <c r="Q66"/>
  <c r="Q65"/>
  <c r="Q64"/>
  <c r="Q62"/>
  <c r="Q61"/>
  <c r="Q59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8"/>
  <c r="Q36"/>
  <c r="Q35"/>
  <c r="Q34"/>
  <c r="Q33"/>
  <c r="Q32"/>
  <c r="Q31"/>
  <c r="Q28"/>
  <c r="Q27"/>
  <c r="Q25"/>
  <c r="Q23"/>
  <c r="Q22"/>
  <c r="Q21"/>
  <c r="Q20"/>
  <c r="Q19"/>
  <c r="Q18"/>
  <c r="Q17"/>
  <c r="Q16"/>
  <c r="Q15"/>
  <c r="Q14"/>
  <c r="Q13"/>
  <c r="Q12"/>
  <c r="Q11"/>
  <c r="G70" i="17"/>
  <c r="G52"/>
  <c r="E11" i="19" l="1"/>
  <c r="E13"/>
  <c r="E12"/>
  <c r="E6"/>
  <c r="E10"/>
  <c r="G10"/>
  <c r="I122" i="7"/>
  <c r="I123"/>
  <c r="I124"/>
  <c r="I125"/>
  <c r="E126" i="17" l="1"/>
  <c r="F126" s="1"/>
  <c r="E210"/>
  <c r="F210" s="1"/>
  <c r="E200"/>
  <c r="F200" s="1"/>
  <c r="E189"/>
  <c r="F189" s="1"/>
  <c r="E179"/>
  <c r="F179" s="1"/>
  <c r="E168"/>
  <c r="F168" s="1"/>
  <c r="E157"/>
  <c r="O6" i="19"/>
  <c r="O5"/>
  <c r="G12"/>
  <c r="E146" i="17"/>
  <c r="F146" s="1"/>
  <c r="E136"/>
  <c r="F136" s="1"/>
  <c r="E5" i="19"/>
  <c r="F290" i="17"/>
  <c r="F291" s="1"/>
  <c r="F286" s="1"/>
  <c r="G89" i="1" s="1"/>
  <c r="F157" i="17"/>
  <c r="E7" i="19"/>
  <c r="E8"/>
  <c r="J180" i="17"/>
  <c r="G8" i="19" l="1"/>
  <c r="G5"/>
  <c r="G6"/>
  <c r="G13"/>
  <c r="G11"/>
  <c r="G9"/>
  <c r="G7"/>
  <c r="M10"/>
  <c r="P10" s="1"/>
  <c r="M11"/>
  <c r="N13"/>
  <c r="N12"/>
  <c r="O9"/>
  <c r="A174" i="17"/>
  <c r="A184"/>
  <c r="K190"/>
  <c r="K3" i="7" l="1"/>
  <c r="K128" s="1"/>
  <c r="P11" i="19"/>
  <c r="E178" i="17"/>
  <c r="F178" s="1"/>
  <c r="F180" s="1"/>
  <c r="F181" s="1"/>
  <c r="F182" s="1"/>
  <c r="R9" i="19"/>
  <c r="E167" i="17" s="1"/>
  <c r="Q13" i="19"/>
  <c r="E209" i="17" s="1"/>
  <c r="Q12" i="19"/>
  <c r="E199" i="17" s="1"/>
  <c r="E188"/>
  <c r="F188" s="1"/>
  <c r="F191" s="1"/>
  <c r="M3" i="7" l="1"/>
  <c r="M4" s="1"/>
  <c r="M5" s="1"/>
  <c r="M6" s="1"/>
  <c r="M7" s="1"/>
  <c r="M8" s="1"/>
  <c r="M9" s="1"/>
  <c r="M10" s="1"/>
  <c r="M11" s="1"/>
  <c r="M12" s="1"/>
  <c r="M13" s="1"/>
  <c r="M14" s="1"/>
  <c r="M15" s="1"/>
  <c r="M16" s="1"/>
  <c r="M17" s="1"/>
  <c r="M18" s="1"/>
  <c r="M19" s="1"/>
  <c r="M20" s="1"/>
  <c r="M21" s="1"/>
  <c r="M22" s="1"/>
  <c r="M23" s="1"/>
  <c r="M24" s="1"/>
  <c r="M25" s="1"/>
  <c r="M26" s="1"/>
  <c r="M27" s="1"/>
  <c r="M28" s="1"/>
  <c r="M29" s="1"/>
  <c r="M30" s="1"/>
  <c r="M31" s="1"/>
  <c r="M32" s="1"/>
  <c r="M33" s="1"/>
  <c r="M34" s="1"/>
  <c r="M35" s="1"/>
  <c r="M36" s="1"/>
  <c r="M37" s="1"/>
  <c r="M38" s="1"/>
  <c r="M39" s="1"/>
  <c r="M40" s="1"/>
  <c r="M41" s="1"/>
  <c r="M42" s="1"/>
  <c r="M43" s="1"/>
  <c r="M44" s="1"/>
  <c r="M45" s="1"/>
  <c r="M46" s="1"/>
  <c r="M47" s="1"/>
  <c r="M48" s="1"/>
  <c r="M49" s="1"/>
  <c r="M50" s="1"/>
  <c r="M51" s="1"/>
  <c r="M52" s="1"/>
  <c r="M53" s="1"/>
  <c r="M54" s="1"/>
  <c r="M55" s="1"/>
  <c r="M56" s="1"/>
  <c r="M57" s="1"/>
  <c r="M58" s="1"/>
  <c r="M59" s="1"/>
  <c r="M60" s="1"/>
  <c r="M61" s="1"/>
  <c r="M62" s="1"/>
  <c r="M63" s="1"/>
  <c r="M64" s="1"/>
  <c r="M65" s="1"/>
  <c r="M66" s="1"/>
  <c r="M67" s="1"/>
  <c r="M68" s="1"/>
  <c r="M69" s="1"/>
  <c r="M70" s="1"/>
  <c r="M71" s="1"/>
  <c r="M72" s="1"/>
  <c r="M73" s="1"/>
  <c r="M74" s="1"/>
  <c r="M75" s="1"/>
  <c r="M76" s="1"/>
  <c r="M77" s="1"/>
  <c r="M78" s="1"/>
  <c r="M79" s="1"/>
  <c r="M80" s="1"/>
  <c r="M81" s="1"/>
  <c r="M82" s="1"/>
  <c r="M83" s="1"/>
  <c r="M84" s="1"/>
  <c r="M85" s="1"/>
  <c r="M86" s="1"/>
  <c r="M87" s="1"/>
  <c r="M88" s="1"/>
  <c r="M89" s="1"/>
  <c r="M90" s="1"/>
  <c r="M91" s="1"/>
  <c r="M92" s="1"/>
  <c r="M93" s="1"/>
  <c r="M94" s="1"/>
  <c r="M95" s="1"/>
  <c r="M96" s="1"/>
  <c r="M97" s="1"/>
  <c r="M98" s="1"/>
  <c r="M99" s="1"/>
  <c r="M100" s="1"/>
  <c r="M101" s="1"/>
  <c r="M102" s="1"/>
  <c r="M103" s="1"/>
  <c r="M104" s="1"/>
  <c r="M105" s="1"/>
  <c r="M106" s="1"/>
  <c r="M107" s="1"/>
  <c r="M108" s="1"/>
  <c r="M109" s="1"/>
  <c r="M110" s="1"/>
  <c r="M111" s="1"/>
  <c r="M112" s="1"/>
  <c r="M113" s="1"/>
  <c r="M114" s="1"/>
  <c r="M115" s="1"/>
  <c r="M116" s="1"/>
  <c r="M117" s="1"/>
  <c r="M118" s="1"/>
  <c r="M119" s="1"/>
  <c r="M120" s="1"/>
  <c r="M121" s="1"/>
  <c r="M122" s="1"/>
  <c r="M123" s="1"/>
  <c r="M124" s="1"/>
  <c r="M125" s="1"/>
  <c r="M126" s="1"/>
  <c r="M127" s="1"/>
  <c r="F174" i="17"/>
  <c r="G33" i="1" s="1"/>
  <c r="H33" s="1"/>
  <c r="F192" i="17"/>
  <c r="F193" s="1"/>
  <c r="D65"/>
  <c r="E65"/>
  <c r="J113" i="1"/>
  <c r="G113" s="1"/>
  <c r="H113" s="1"/>
  <c r="J112"/>
  <c r="G112" s="1"/>
  <c r="H112" s="1"/>
  <c r="J111"/>
  <c r="G111" s="1"/>
  <c r="H111" s="1"/>
  <c r="J110"/>
  <c r="G110" s="1"/>
  <c r="H110" s="1"/>
  <c r="F184" i="17" l="1"/>
  <c r="G34" i="1" s="1"/>
  <c r="O8" i="19"/>
  <c r="R8" s="1"/>
  <c r="E156" i="17" s="1"/>
  <c r="R5" i="19"/>
  <c r="E125" i="17" s="1"/>
  <c r="O7" i="19"/>
  <c r="R7" s="1"/>
  <c r="E145" i="17" s="1"/>
  <c r="H34" i="1" l="1"/>
  <c r="I34" s="1"/>
  <c r="R6" i="19"/>
  <c r="E135" i="17" s="1"/>
  <c r="I184" i="1" l="1"/>
  <c r="K89"/>
  <c r="J89" s="1"/>
  <c r="H89" s="1"/>
  <c r="K136"/>
  <c r="A286" i="17" l="1"/>
  <c r="A205"/>
  <c r="A152"/>
  <c r="A163"/>
  <c r="S152" i="1"/>
  <c r="S151"/>
  <c r="S150"/>
  <c r="S149"/>
  <c r="S148"/>
  <c r="S147"/>
  <c r="S146"/>
  <c r="S145"/>
  <c r="S144"/>
  <c r="S143"/>
  <c r="S142"/>
  <c r="S141"/>
  <c r="S140"/>
  <c r="S139"/>
  <c r="S138"/>
  <c r="S137"/>
  <c r="S136"/>
  <c r="S135"/>
  <c r="S134"/>
  <c r="S133"/>
  <c r="S132"/>
  <c r="S131"/>
  <c r="S130"/>
  <c r="S129"/>
  <c r="S128"/>
  <c r="S127"/>
  <c r="S126"/>
  <c r="S125"/>
  <c r="S124"/>
  <c r="S123"/>
  <c r="S122"/>
  <c r="S121"/>
  <c r="S120"/>
  <c r="S119"/>
  <c r="S118"/>
  <c r="S117"/>
  <c r="S116"/>
  <c r="S115"/>
  <c r="S114"/>
  <c r="S109"/>
  <c r="S108"/>
  <c r="S107"/>
  <c r="S106"/>
  <c r="S105"/>
  <c r="S104"/>
  <c r="S103"/>
  <c r="S102"/>
  <c r="S101"/>
  <c r="S100"/>
  <c r="S99"/>
  <c r="S98"/>
  <c r="S97"/>
  <c r="S96"/>
  <c r="S95"/>
  <c r="S94"/>
  <c r="S93"/>
  <c r="S92"/>
  <c r="S74"/>
  <c r="S73"/>
  <c r="S72"/>
  <c r="S71"/>
  <c r="S70"/>
  <c r="S69"/>
  <c r="S68"/>
  <c r="S67"/>
  <c r="S66"/>
  <c r="S65"/>
  <c r="S64"/>
  <c r="S63"/>
  <c r="S62"/>
  <c r="S61"/>
  <c r="S60"/>
  <c r="S59"/>
  <c r="S58"/>
  <c r="S57"/>
  <c r="S56"/>
  <c r="S55"/>
  <c r="S54"/>
  <c r="S53"/>
  <c r="S52"/>
  <c r="S51"/>
  <c r="S50"/>
  <c r="S49"/>
  <c r="S48"/>
  <c r="S47"/>
  <c r="S46"/>
  <c r="S45"/>
  <c r="S44"/>
  <c r="S43"/>
  <c r="S42"/>
  <c r="S41"/>
  <c r="S40"/>
  <c r="S39"/>
  <c r="S88"/>
  <c r="S87"/>
  <c r="S86"/>
  <c r="S85"/>
  <c r="S84"/>
  <c r="S83"/>
  <c r="S82"/>
  <c r="S81"/>
  <c r="S80"/>
  <c r="S79"/>
  <c r="S78"/>
  <c r="S36"/>
  <c r="S35"/>
  <c r="S30"/>
  <c r="S29"/>
  <c r="S28"/>
  <c r="S21"/>
  <c r="S20"/>
  <c r="S27"/>
  <c r="S25"/>
  <c r="S18"/>
  <c r="S17"/>
  <c r="S16"/>
  <c r="S12"/>
  <c r="S11"/>
  <c r="F209" i="17"/>
  <c r="F212" s="1"/>
  <c r="F199"/>
  <c r="F201" s="1"/>
  <c r="F213" l="1"/>
  <c r="F214" s="1"/>
  <c r="F202"/>
  <c r="F203" s="1"/>
  <c r="F195" s="1"/>
  <c r="A195"/>
  <c r="F276"/>
  <c r="F277" s="1"/>
  <c r="F272" s="1"/>
  <c r="G87" i="1" s="1"/>
  <c r="F262" i="17"/>
  <c r="F263" s="1"/>
  <c r="F258" s="1"/>
  <c r="G85" i="1" s="1"/>
  <c r="F255" i="17"/>
  <c r="F256" s="1"/>
  <c r="F251" s="1"/>
  <c r="G84" i="1" s="1"/>
  <c r="F248" i="17"/>
  <c r="F249" s="1"/>
  <c r="F244" s="1"/>
  <c r="G83" i="1" s="1"/>
  <c r="F283" i="17"/>
  <c r="F284" s="1"/>
  <c r="F279" s="1"/>
  <c r="G88" i="1" s="1"/>
  <c r="F269" i="17"/>
  <c r="F270" s="1"/>
  <c r="F265" s="1"/>
  <c r="G86" i="1" s="1"/>
  <c r="F205" i="17" l="1"/>
  <c r="G36" i="1" s="1"/>
  <c r="H36" s="1"/>
  <c r="G35"/>
  <c r="H35" s="1"/>
  <c r="J117"/>
  <c r="G117" s="1"/>
  <c r="H117" s="1"/>
  <c r="J129"/>
  <c r="G129" s="1"/>
  <c r="H129" s="1"/>
  <c r="J130"/>
  <c r="G130" s="1"/>
  <c r="H130" s="1"/>
  <c r="J131"/>
  <c r="G131" s="1"/>
  <c r="H131" s="1"/>
  <c r="J125"/>
  <c r="G125" s="1"/>
  <c r="H125" s="1"/>
  <c r="J126"/>
  <c r="G126" s="1"/>
  <c r="H126" s="1"/>
  <c r="J127"/>
  <c r="G127" s="1"/>
  <c r="H127" s="1"/>
  <c r="H37" l="1"/>
  <c r="K88"/>
  <c r="J88" s="1"/>
  <c r="H88" s="1"/>
  <c r="K87"/>
  <c r="J87" s="1"/>
  <c r="H87" s="1"/>
  <c r="K86"/>
  <c r="J86" s="1"/>
  <c r="H86" s="1"/>
  <c r="K85"/>
  <c r="J85" s="1"/>
  <c r="H85" s="1"/>
  <c r="K84"/>
  <c r="J84" s="1"/>
  <c r="H84" s="1"/>
  <c r="K83"/>
  <c r="J83" s="1"/>
  <c r="H83" s="1"/>
  <c r="K82"/>
  <c r="J82" s="1"/>
  <c r="K81"/>
  <c r="J81" s="1"/>
  <c r="K80"/>
  <c r="J80" s="1"/>
  <c r="K79"/>
  <c r="J79" s="1"/>
  <c r="J78"/>
  <c r="G78" s="1"/>
  <c r="J71"/>
  <c r="G71" s="1"/>
  <c r="H71" s="1"/>
  <c r="J115"/>
  <c r="G115" s="1"/>
  <c r="H115" s="1"/>
  <c r="J105" l="1"/>
  <c r="G105" s="1"/>
  <c r="H105" s="1"/>
  <c r="J106"/>
  <c r="G106" s="1"/>
  <c r="H106" s="1"/>
  <c r="J107"/>
  <c r="G107" s="1"/>
  <c r="H107" s="1"/>
  <c r="J108"/>
  <c r="G108" s="1"/>
  <c r="H108" s="1"/>
  <c r="J39" l="1"/>
  <c r="G39" s="1"/>
  <c r="H39" s="1"/>
  <c r="J124"/>
  <c r="G124" s="1"/>
  <c r="H124" s="1"/>
  <c r="J63"/>
  <c r="G63" s="1"/>
  <c r="H63" s="1"/>
  <c r="J58"/>
  <c r="G58" s="1"/>
  <c r="H58" s="1"/>
  <c r="J59"/>
  <c r="J60"/>
  <c r="G60" s="1"/>
  <c r="H60" s="1"/>
  <c r="J109"/>
  <c r="G109" s="1"/>
  <c r="H109" s="1"/>
  <c r="J42" l="1"/>
  <c r="G42" s="1"/>
  <c r="H42" s="1"/>
  <c r="J139"/>
  <c r="G139" s="1"/>
  <c r="J149"/>
  <c r="G149" s="1"/>
  <c r="J95"/>
  <c r="G95" s="1"/>
  <c r="J96"/>
  <c r="G96" s="1"/>
  <c r="J67"/>
  <c r="G67" s="1"/>
  <c r="J122"/>
  <c r="G122" s="1"/>
  <c r="J123"/>
  <c r="G123" s="1"/>
  <c r="J150"/>
  <c r="G150" s="1"/>
  <c r="J49"/>
  <c r="G49" s="1"/>
  <c r="J92"/>
  <c r="G92" s="1"/>
  <c r="J93"/>
  <c r="G93" s="1"/>
  <c r="J94"/>
  <c r="G94" s="1"/>
  <c r="J48"/>
  <c r="G48" s="1"/>
  <c r="J147"/>
  <c r="G147" s="1"/>
  <c r="J146"/>
  <c r="J97"/>
  <c r="G97" s="1"/>
  <c r="J118"/>
  <c r="J119"/>
  <c r="G119" s="1"/>
  <c r="J120"/>
  <c r="G120" s="1"/>
  <c r="J121"/>
  <c r="G121" s="1"/>
  <c r="J40"/>
  <c r="G40" s="1"/>
  <c r="J151"/>
  <c r="G151" s="1"/>
  <c r="J128"/>
  <c r="G128" s="1"/>
  <c r="J132"/>
  <c r="G132" s="1"/>
  <c r="J134"/>
  <c r="G134" s="1"/>
  <c r="J46"/>
  <c r="G46" s="1"/>
  <c r="J152"/>
  <c r="G152" s="1"/>
  <c r="J74"/>
  <c r="G74" s="1"/>
  <c r="J142"/>
  <c r="G142" s="1"/>
  <c r="J145"/>
  <c r="G145" s="1"/>
  <c r="J116"/>
  <c r="G116" s="1"/>
  <c r="J98"/>
  <c r="G98" s="1"/>
  <c r="J99"/>
  <c r="G99" s="1"/>
  <c r="J138"/>
  <c r="G138" s="1"/>
  <c r="J133"/>
  <c r="G133" s="1"/>
  <c r="J137"/>
  <c r="G137" s="1"/>
  <c r="J114"/>
  <c r="G114" s="1"/>
  <c r="J41"/>
  <c r="G41" s="1"/>
  <c r="J144"/>
  <c r="G144" s="1"/>
  <c r="J143"/>
  <c r="G143" s="1"/>
  <c r="J148"/>
  <c r="J100"/>
  <c r="G100" s="1"/>
  <c r="H100" s="1"/>
  <c r="J101"/>
  <c r="G101" s="1"/>
  <c r="H101" s="1"/>
  <c r="J102"/>
  <c r="G102" s="1"/>
  <c r="J73"/>
  <c r="G73" s="1"/>
  <c r="J45"/>
  <c r="G45" s="1"/>
  <c r="J140"/>
  <c r="G140" s="1"/>
  <c r="J135"/>
  <c r="G135" s="1"/>
  <c r="J136"/>
  <c r="G136" s="1"/>
  <c r="J104"/>
  <c r="G104" s="1"/>
  <c r="J103"/>
  <c r="G103" s="1"/>
  <c r="J141"/>
  <c r="G141" s="1"/>
  <c r="J47"/>
  <c r="J52"/>
  <c r="G52" s="1"/>
  <c r="H52" s="1"/>
  <c r="J53"/>
  <c r="G53" s="1"/>
  <c r="H53" s="1"/>
  <c r="J44"/>
  <c r="G44" s="1"/>
  <c r="J55"/>
  <c r="J57"/>
  <c r="G57" s="1"/>
  <c r="J68"/>
  <c r="G68" s="1"/>
  <c r="J69"/>
  <c r="G69" s="1"/>
  <c r="J66"/>
  <c r="G66" s="1"/>
  <c r="J65"/>
  <c r="G65" s="1"/>
  <c r="J54"/>
  <c r="G54" s="1"/>
  <c r="J70"/>
  <c r="G70" s="1"/>
  <c r="J43"/>
  <c r="G43" s="1"/>
  <c r="J64"/>
  <c r="G64" s="1"/>
  <c r="J62"/>
  <c r="G62" s="1"/>
  <c r="J61"/>
  <c r="G61" s="1"/>
  <c r="J56"/>
  <c r="G56" s="1"/>
  <c r="J51"/>
  <c r="G51" s="1"/>
  <c r="H51" s="1"/>
  <c r="G146"/>
  <c r="G118"/>
  <c r="G148"/>
  <c r="G47"/>
  <c r="G55"/>
  <c r="G59"/>
  <c r="F156" i="17" l="1"/>
  <c r="F159" s="1"/>
  <c r="F160" l="1"/>
  <c r="F161" s="1"/>
  <c r="F152" s="1"/>
  <c r="G29" i="1" l="1"/>
  <c r="H29" s="1"/>
  <c r="H78"/>
  <c r="J50" l="1"/>
  <c r="G50" s="1"/>
  <c r="J91"/>
  <c r="H70"/>
  <c r="H43"/>
  <c r="H64"/>
  <c r="H62"/>
  <c r="H59"/>
  <c r="H61"/>
  <c r="H56"/>
  <c r="J72"/>
  <c r="G72" s="1"/>
  <c r="H72" s="1"/>
  <c r="H68"/>
  <c r="H69"/>
  <c r="H66"/>
  <c r="H65"/>
  <c r="H54"/>
  <c r="A216" i="17"/>
  <c r="A223"/>
  <c r="A230"/>
  <c r="A237"/>
  <c r="A244"/>
  <c r="A251"/>
  <c r="A258"/>
  <c r="A265"/>
  <c r="A272"/>
  <c r="H44" i="1"/>
  <c r="H55"/>
  <c r="H57"/>
  <c r="A279" i="17" l="1"/>
  <c r="H123" i="1"/>
  <c r="H67"/>
  <c r="H96"/>
  <c r="H94"/>
  <c r="H92"/>
  <c r="H50"/>
  <c r="H141"/>
  <c r="H103"/>
  <c r="H136"/>
  <c r="H73"/>
  <c r="H114"/>
  <c r="H133"/>
  <c r="H99"/>
  <c r="H116"/>
  <c r="H142"/>
  <c r="H46"/>
  <c r="H132"/>
  <c r="H120"/>
  <c r="H118"/>
  <c r="H147"/>
  <c r="H139"/>
  <c r="H122"/>
  <c r="H95"/>
  <c r="H149"/>
  <c r="H150"/>
  <c r="H93"/>
  <c r="H49"/>
  <c r="H48"/>
  <c r="H47"/>
  <c r="H104"/>
  <c r="H135"/>
  <c r="H140"/>
  <c r="H45"/>
  <c r="H148"/>
  <c r="H143"/>
  <c r="H144"/>
  <c r="H41"/>
  <c r="H137"/>
  <c r="H138"/>
  <c r="H98"/>
  <c r="H145"/>
  <c r="H74"/>
  <c r="H152"/>
  <c r="H134"/>
  <c r="H128"/>
  <c r="H151"/>
  <c r="H40"/>
  <c r="H121"/>
  <c r="H119"/>
  <c r="H97"/>
  <c r="H146"/>
  <c r="H102"/>
  <c r="H153" l="1"/>
  <c r="X30" s="1"/>
  <c r="H75"/>
  <c r="X28" s="1"/>
  <c r="E24" i="9" l="1"/>
  <c r="I153" i="1"/>
  <c r="E27" i="9"/>
  <c r="K169" i="17" l="1"/>
  <c r="F167"/>
  <c r="F145"/>
  <c r="F115"/>
  <c r="F116" s="1"/>
  <c r="F110"/>
  <c r="F111" s="1"/>
  <c r="F112" s="1"/>
  <c r="F99"/>
  <c r="F100" s="1"/>
  <c r="F94"/>
  <c r="F95" s="1"/>
  <c r="F96" s="1"/>
  <c r="F135"/>
  <c r="F137" s="1"/>
  <c r="F125"/>
  <c r="F127" s="1"/>
  <c r="F128" s="1"/>
  <c r="F129" s="1"/>
  <c r="F82"/>
  <c r="F84" s="1"/>
  <c r="F77"/>
  <c r="F78" s="1"/>
  <c r="F79" s="1"/>
  <c r="F65"/>
  <c r="F64"/>
  <c r="F59"/>
  <c r="F60" s="1"/>
  <c r="F61" s="1"/>
  <c r="F47"/>
  <c r="F49" s="1"/>
  <c r="F42"/>
  <c r="F43" s="1"/>
  <c r="F44" s="1"/>
  <c r="F30"/>
  <c r="F31" s="1"/>
  <c r="F24"/>
  <c r="F25" s="1"/>
  <c r="F26" s="1"/>
  <c r="F27" s="1"/>
  <c r="F21"/>
  <c r="B20"/>
  <c r="F12"/>
  <c r="F15" s="1"/>
  <c r="F17" s="1"/>
  <c r="F18" s="1"/>
  <c r="F2" s="1"/>
  <c r="G11" i="1" s="1"/>
  <c r="F7" i="17"/>
  <c r="F8" s="1"/>
  <c r="F9" s="1"/>
  <c r="F3"/>
  <c r="F138" l="1"/>
  <c r="F139" s="1"/>
  <c r="F121"/>
  <c r="G25" i="1" s="1"/>
  <c r="F148" i="17"/>
  <c r="F170"/>
  <c r="F171" s="1"/>
  <c r="F172" s="1"/>
  <c r="O34" i="1"/>
  <c r="J35"/>
  <c r="F227" i="17"/>
  <c r="F228" s="1"/>
  <c r="F223" s="1"/>
  <c r="G80" i="1" s="1"/>
  <c r="H80" s="1"/>
  <c r="F234" i="17"/>
  <c r="F67"/>
  <c r="F68" s="1"/>
  <c r="F69" s="1"/>
  <c r="F50"/>
  <c r="F51" s="1"/>
  <c r="F52" s="1"/>
  <c r="F32"/>
  <c r="F33" s="1"/>
  <c r="F34" s="1"/>
  <c r="F20" s="1"/>
  <c r="G12" i="1" s="1"/>
  <c r="F101" i="17"/>
  <c r="F102" s="1"/>
  <c r="F103" s="1"/>
  <c r="F89" s="1"/>
  <c r="G20" i="1" s="1"/>
  <c r="F241" i="17"/>
  <c r="F85"/>
  <c r="F86" s="1"/>
  <c r="F87" s="1"/>
  <c r="F72" s="1"/>
  <c r="G18" i="1" s="1"/>
  <c r="F117" i="17"/>
  <c r="F118" s="1"/>
  <c r="F119" s="1"/>
  <c r="F105" s="1"/>
  <c r="G21" i="1" s="1"/>
  <c r="J34" l="1"/>
  <c r="F163" i="17"/>
  <c r="G30" i="1" s="1"/>
  <c r="F149" i="17"/>
  <c r="F150" s="1"/>
  <c r="F141" s="1"/>
  <c r="G28" i="1" s="1"/>
  <c r="F131" i="17"/>
  <c r="F235"/>
  <c r="F230" s="1"/>
  <c r="G81" i="1" s="1"/>
  <c r="H81" s="1"/>
  <c r="F242" i="17"/>
  <c r="F220"/>
  <c r="F37"/>
  <c r="G16" i="1" s="1"/>
  <c r="F70" i="17"/>
  <c r="E18" i="9" l="1"/>
  <c r="F237" i="17"/>
  <c r="G82" i="1" s="1"/>
  <c r="H82" s="1"/>
  <c r="G27"/>
  <c r="I279" i="17"/>
  <c r="I265"/>
  <c r="I272"/>
  <c r="I258"/>
  <c r="F221"/>
  <c r="F216" s="1"/>
  <c r="G79" i="1" s="1"/>
  <c r="H79" s="1"/>
  <c r="H90" s="1"/>
  <c r="I244" i="17"/>
  <c r="F54"/>
  <c r="I251" l="1"/>
  <c r="E21" i="9"/>
  <c r="X29" i="1"/>
  <c r="Y30" s="1"/>
  <c r="G17"/>
  <c r="I237" i="17"/>
  <c r="A131"/>
  <c r="A105"/>
  <c r="J38" i="1" l="1"/>
  <c r="L38" l="1"/>
  <c r="L149"/>
  <c r="L151"/>
  <c r="L49"/>
  <c r="L150"/>
  <c r="L152"/>
  <c r="I135" i="7" l="1"/>
  <c r="I134"/>
  <c r="I133"/>
  <c r="I132"/>
  <c r="I131"/>
  <c r="I130"/>
  <c r="I129"/>
  <c r="D131" l="1"/>
  <c r="A141" i="17" l="1"/>
  <c r="A121"/>
  <c r="A72"/>
  <c r="H21" i="1"/>
  <c r="O38"/>
  <c r="O49"/>
  <c r="O149"/>
  <c r="O150"/>
  <c r="O151"/>
  <c r="O152"/>
  <c r="A89" i="17"/>
  <c r="A54"/>
  <c r="A37"/>
  <c r="A20" l="1"/>
  <c r="I38" i="1"/>
  <c r="I47"/>
  <c r="H25"/>
  <c r="H27"/>
  <c r="H18"/>
  <c r="H30" l="1"/>
  <c r="H28"/>
  <c r="H20"/>
  <c r="H17"/>
  <c r="H16"/>
  <c r="H12"/>
  <c r="H11"/>
  <c r="H31" l="1"/>
  <c r="H22"/>
  <c r="H13"/>
  <c r="Q26" i="9"/>
  <c r="P26"/>
  <c r="K26"/>
  <c r="L26"/>
  <c r="O26"/>
  <c r="G26"/>
  <c r="H26"/>
  <c r="N26"/>
  <c r="M26"/>
  <c r="J26"/>
  <c r="I26"/>
  <c r="F26"/>
  <c r="N29"/>
  <c r="J29"/>
  <c r="F29"/>
  <c r="I29"/>
  <c r="O29"/>
  <c r="K29"/>
  <c r="G29"/>
  <c r="M29"/>
  <c r="P29"/>
  <c r="L29"/>
  <c r="H29"/>
  <c r="Q29"/>
  <c r="Q23"/>
  <c r="O23"/>
  <c r="G23"/>
  <c r="P23"/>
  <c r="H23"/>
  <c r="L23"/>
  <c r="K23"/>
  <c r="J23"/>
  <c r="F23"/>
  <c r="M23"/>
  <c r="N23"/>
  <c r="I23"/>
  <c r="Q20"/>
  <c r="L20"/>
  <c r="G20"/>
  <c r="N20"/>
  <c r="H20"/>
  <c r="O20"/>
  <c r="J20"/>
  <c r="P20"/>
  <c r="K20"/>
  <c r="F20"/>
  <c r="M20"/>
  <c r="I20"/>
  <c r="H155" i="1" l="1"/>
  <c r="V155" s="1"/>
  <c r="X25"/>
  <c r="X27"/>
  <c r="E9" i="9"/>
  <c r="P11" s="1"/>
  <c r="J23" i="1"/>
  <c r="J19"/>
  <c r="E12" i="9"/>
  <c r="E15"/>
  <c r="J17" s="1"/>
  <c r="Y28" i="1" l="1"/>
  <c r="X31"/>
  <c r="F11" i="9"/>
  <c r="J22" i="1"/>
  <c r="F17" i="9"/>
  <c r="O11"/>
  <c r="N11"/>
  <c r="L11"/>
  <c r="H11"/>
  <c r="Q11"/>
  <c r="I11"/>
  <c r="G11"/>
  <c r="K11"/>
  <c r="M11"/>
  <c r="J11"/>
  <c r="I17"/>
  <c r="Q17"/>
  <c r="L17"/>
  <c r="G17"/>
  <c r="P14"/>
  <c r="Q14"/>
  <c r="I14"/>
  <c r="J14"/>
  <c r="J30" s="1"/>
  <c r="O14"/>
  <c r="G14"/>
  <c r="H14"/>
  <c r="M14"/>
  <c r="N14"/>
  <c r="F14"/>
  <c r="K14"/>
  <c r="L14"/>
  <c r="H17"/>
  <c r="M17"/>
  <c r="N17"/>
  <c r="P17"/>
  <c r="O17"/>
  <c r="E30"/>
  <c r="K17"/>
  <c r="J155" i="1"/>
  <c r="J156" s="1"/>
  <c r="Y31" l="1"/>
  <c r="X33"/>
  <c r="P30" i="9"/>
  <c r="P32" s="1"/>
  <c r="F30"/>
  <c r="F31" s="1"/>
  <c r="G30"/>
  <c r="G32" s="1"/>
  <c r="I30"/>
  <c r="I32" s="1"/>
  <c r="L30"/>
  <c r="L32" s="1"/>
  <c r="H30"/>
  <c r="H32" s="1"/>
  <c r="M30"/>
  <c r="M32" s="1"/>
  <c r="Q30"/>
  <c r="Q32" s="1"/>
  <c r="O30"/>
  <c r="O32" s="1"/>
  <c r="K30"/>
  <c r="K32" s="1"/>
  <c r="N30"/>
  <c r="N32" s="1"/>
  <c r="J32"/>
  <c r="C24"/>
  <c r="C18"/>
  <c r="C12"/>
  <c r="D12" s="1"/>
  <c r="C6"/>
  <c r="C21"/>
  <c r="C9"/>
  <c r="C27"/>
  <c r="C15"/>
  <c r="G31" l="1"/>
  <c r="H31" s="1"/>
  <c r="I31" s="1"/>
  <c r="J31" s="1"/>
  <c r="K31" s="1"/>
  <c r="L31" s="1"/>
  <c r="M31" s="1"/>
  <c r="N31" s="1"/>
  <c r="O31" s="1"/>
  <c r="P31" s="1"/>
  <c r="Q31" s="1"/>
  <c r="F32"/>
  <c r="F33" s="1"/>
  <c r="G33" s="1"/>
  <c r="H33" s="1"/>
  <c r="I33" s="1"/>
  <c r="J33" s="1"/>
  <c r="K33" s="1"/>
  <c r="L33" s="1"/>
  <c r="M33" s="1"/>
  <c r="N33" s="1"/>
  <c r="O33" s="1"/>
  <c r="P33" s="1"/>
  <c r="Q33" s="1"/>
  <c r="D15"/>
  <c r="D18" s="1"/>
  <c r="D21" s="1"/>
  <c r="D24" s="1"/>
  <c r="D27" s="1"/>
</calcChain>
</file>

<file path=xl/sharedStrings.xml><?xml version="1.0" encoding="utf-8"?>
<sst xmlns="http://schemas.openxmlformats.org/spreadsheetml/2006/main" count="2727" uniqueCount="855">
  <si>
    <t>un</t>
  </si>
  <si>
    <t>m³</t>
  </si>
  <si>
    <t>m</t>
  </si>
  <si>
    <t>ITEM</t>
  </si>
  <si>
    <t>CÓDIGO</t>
  </si>
  <si>
    <t>DESCRIÇÃO</t>
  </si>
  <si>
    <t>QUANT.</t>
  </si>
  <si>
    <t>UN</t>
  </si>
  <si>
    <t>METRÔ - DF</t>
  </si>
  <si>
    <t xml:space="preserve"> </t>
  </si>
  <si>
    <t>PLANILHA ORÇAMENTÁRIA</t>
  </si>
  <si>
    <t>REFERÊNCIA</t>
  </si>
  <si>
    <t>mês</t>
  </si>
  <si>
    <t>00002436</t>
  </si>
  <si>
    <t>00004750</t>
  </si>
  <si>
    <t>00000248</t>
  </si>
  <si>
    <t>PREÇO UNIT.</t>
  </si>
  <si>
    <t>VALOR TOTAL COM BDI</t>
  </si>
  <si>
    <t>01</t>
  </si>
  <si>
    <t>01.1</t>
  </si>
  <si>
    <t>01.1.1</t>
  </si>
  <si>
    <t>01.1.2</t>
  </si>
  <si>
    <t>00001160 - SINAPI</t>
  </si>
  <si>
    <t>Tabela CREA-DF</t>
  </si>
  <si>
    <t>00014250 - SINAPI</t>
  </si>
  <si>
    <t>00014583 - SINAPI</t>
  </si>
  <si>
    <t>Históricos Obras Similares</t>
  </si>
  <si>
    <t>02.1</t>
  </si>
  <si>
    <t>02.1.1</t>
  </si>
  <si>
    <t>02.1.2</t>
  </si>
  <si>
    <t>02.2</t>
  </si>
  <si>
    <t>02.2.1</t>
  </si>
  <si>
    <t>03.1</t>
  </si>
  <si>
    <t>03.2</t>
  </si>
  <si>
    <t>04.1</t>
  </si>
  <si>
    <t>04.2</t>
  </si>
  <si>
    <t>MDF-Man-0001</t>
  </si>
  <si>
    <t>MDF-Man-0002</t>
  </si>
  <si>
    <t>MDF-Man-0005</t>
  </si>
  <si>
    <t>MDF-Man-0006</t>
  </si>
  <si>
    <t>MDF-Man-0008</t>
  </si>
  <si>
    <t>06.1</t>
  </si>
  <si>
    <t>05.1</t>
  </si>
  <si>
    <t>05.2</t>
  </si>
  <si>
    <t>05.3</t>
  </si>
  <si>
    <t>05.4</t>
  </si>
  <si>
    <t>05.5</t>
  </si>
  <si>
    <t>05.6</t>
  </si>
  <si>
    <t>05.7</t>
  </si>
  <si>
    <t>05.8</t>
  </si>
  <si>
    <t>05.9</t>
  </si>
  <si>
    <t>05.10</t>
  </si>
  <si>
    <t>05.11</t>
  </si>
  <si>
    <t>05.12</t>
  </si>
  <si>
    <t>06.2</t>
  </si>
  <si>
    <t>06.3</t>
  </si>
  <si>
    <t>06.4</t>
  </si>
  <si>
    <t>06.5</t>
  </si>
  <si>
    <t>06.6</t>
  </si>
  <si>
    <t>06.7</t>
  </si>
  <si>
    <t>06.8</t>
  </si>
  <si>
    <t>06.9</t>
  </si>
  <si>
    <t>06.10</t>
  </si>
  <si>
    <t>06.11</t>
  </si>
  <si>
    <t>06.12</t>
  </si>
  <si>
    <t>07.1</t>
  </si>
  <si>
    <t>07.2</t>
  </si>
  <si>
    <t>07.3</t>
  </si>
  <si>
    <t>07.4</t>
  </si>
  <si>
    <t>07.5</t>
  </si>
  <si>
    <t>07.6</t>
  </si>
  <si>
    <t>07.7</t>
  </si>
  <si>
    <t>07.8</t>
  </si>
  <si>
    <t>07.9</t>
  </si>
  <si>
    <t>07.10</t>
  </si>
  <si>
    <t>07.11</t>
  </si>
  <si>
    <t>07.12</t>
  </si>
  <si>
    <t>07.13</t>
  </si>
  <si>
    <t>07.14</t>
  </si>
  <si>
    <t>07.15</t>
  </si>
  <si>
    <t>07.16</t>
  </si>
  <si>
    <t>07.17</t>
  </si>
  <si>
    <t>07.18</t>
  </si>
  <si>
    <t>07.19</t>
  </si>
  <si>
    <t>07.20</t>
  </si>
  <si>
    <t>07.21</t>
  </si>
  <si>
    <t>07.22</t>
  </si>
  <si>
    <t>07.23</t>
  </si>
  <si>
    <t>07.24</t>
  </si>
  <si>
    <t>07.25</t>
  </si>
  <si>
    <t>07.26</t>
  </si>
  <si>
    <t>07.27</t>
  </si>
  <si>
    <t>07.28</t>
  </si>
  <si>
    <t>07.29</t>
  </si>
  <si>
    <t>07.30</t>
  </si>
  <si>
    <t>07.31</t>
  </si>
  <si>
    <t>07.32</t>
  </si>
  <si>
    <t>07.33</t>
  </si>
  <si>
    <t>07.34</t>
  </si>
  <si>
    <t>07.35</t>
  </si>
  <si>
    <t>07.36</t>
  </si>
  <si>
    <t>07.37</t>
  </si>
  <si>
    <t>07.38</t>
  </si>
  <si>
    <t>07.39</t>
  </si>
  <si>
    <t>07.40</t>
  </si>
  <si>
    <t>07.41</t>
  </si>
  <si>
    <t>Descrição</t>
  </si>
  <si>
    <t>Coef.</t>
  </si>
  <si>
    <t>P. Total</t>
  </si>
  <si>
    <t>SUBTOTAL</t>
  </si>
  <si>
    <t>TOTAL MÃO DE OBRA</t>
  </si>
  <si>
    <t>TOTAL MATERIAIS</t>
  </si>
  <si>
    <t>TOTAL GERAL</t>
  </si>
  <si>
    <t>Total do Item 01 (Para 12 Meses)</t>
  </si>
  <si>
    <t>Total do Item 02 (Para 12 Meses)</t>
  </si>
  <si>
    <t>Total do Item 03 (Para 12 Meses)</t>
  </si>
  <si>
    <t>00002436 - SINAPI</t>
  </si>
  <si>
    <t>Registro de Contrato e Anotação Responsabilidade Técnica - CREA/DF:</t>
  </si>
  <si>
    <t>h</t>
  </si>
  <si>
    <r>
      <t>PRELIMINARES (</t>
    </r>
    <r>
      <rPr>
        <b/>
        <i/>
        <sz val="11"/>
        <rFont val="Arial"/>
        <family val="2"/>
      </rPr>
      <t>MANUTENÇÃO PREVENTIVA / CORRETVIA</t>
    </r>
    <r>
      <rPr>
        <b/>
        <sz val="11"/>
        <rFont val="Arial"/>
        <family val="2"/>
      </rPr>
      <t>):</t>
    </r>
  </si>
  <si>
    <r>
      <t>IMPLANTAÇÃO / ADMINISTRAÇÃO (</t>
    </r>
    <r>
      <rPr>
        <b/>
        <i/>
        <sz val="11"/>
        <rFont val="Arial"/>
        <family val="2"/>
      </rPr>
      <t>MANUTENÇÃO PREVENTIVA / CORRETIVA</t>
    </r>
    <r>
      <rPr>
        <b/>
        <sz val="11"/>
        <rFont val="Arial"/>
        <family val="2"/>
      </rPr>
      <t>):</t>
    </r>
  </si>
  <si>
    <t>MDF-Man-0009</t>
  </si>
  <si>
    <t>MDF-Man-0011</t>
  </si>
  <si>
    <t>MDF-Man-0012</t>
  </si>
  <si>
    <t>MDF-Man-0013</t>
  </si>
  <si>
    <t>MDF-Man-0014</t>
  </si>
  <si>
    <t>MDF-Man-0015</t>
  </si>
  <si>
    <t>MDF-Man-0016</t>
  </si>
  <si>
    <t>MDF-Man-0019</t>
  </si>
  <si>
    <t>MDF-Man-0020</t>
  </si>
  <si>
    <t>MDF-Man-0021</t>
  </si>
  <si>
    <t>MDF-Man-0022</t>
  </si>
  <si>
    <t>MDF-Man-0023</t>
  </si>
  <si>
    <t>MDF-Man-0024</t>
  </si>
  <si>
    <t>MDF-Man-0025</t>
  </si>
  <si>
    <t>MDF-Man-0026</t>
  </si>
  <si>
    <t>MDF-Man-0027</t>
  </si>
  <si>
    <t>MDF-Man-0028</t>
  </si>
  <si>
    <t>MDF-Man-0029</t>
  </si>
  <si>
    <t>MDF-Man-0030</t>
  </si>
  <si>
    <t>MDF-Man-0031</t>
  </si>
  <si>
    <t>MDF-Man-0032</t>
  </si>
  <si>
    <t>MDF-Man-0033</t>
  </si>
  <si>
    <t>MDF-Man-0034</t>
  </si>
  <si>
    <t>MDF-Man-0035</t>
  </si>
  <si>
    <t>MDF-Man-0036</t>
  </si>
  <si>
    <t>MDF-Man-0037</t>
  </si>
  <si>
    <t>MDF-Man-0038</t>
  </si>
  <si>
    <t>MDF-Man-0039</t>
  </si>
  <si>
    <t>MDF-Man-0041</t>
  </si>
  <si>
    <t>MDF-Man-0042</t>
  </si>
  <si>
    <t>MDF-Man-0043</t>
  </si>
  <si>
    <t>MDF-Man-0044</t>
  </si>
  <si>
    <t>MDF-Man-0045</t>
  </si>
  <si>
    <t>MDF-Man-0046</t>
  </si>
  <si>
    <t>MDF-Man-0047</t>
  </si>
  <si>
    <t>MDF-Man-0048</t>
  </si>
  <si>
    <t>MDF-Man-0049</t>
  </si>
  <si>
    <t>MDF-Man-0050</t>
  </si>
  <si>
    <t>MDF-Man-0051</t>
  </si>
  <si>
    <t>MDF-Man-0052</t>
  </si>
  <si>
    <t>MDF-Man-0053</t>
  </si>
  <si>
    <t>MDF-Man-0054</t>
  </si>
  <si>
    <t>MDF-Man-0055</t>
  </si>
  <si>
    <t>MDF-Man-0056</t>
  </si>
  <si>
    <t>MDF-Man-0057</t>
  </si>
  <si>
    <t>MDF-Man-0059</t>
  </si>
  <si>
    <t>MDF-Man-0061</t>
  </si>
  <si>
    <t>MDF-Man-0063</t>
  </si>
  <si>
    <t>MDF-Man-0064</t>
  </si>
  <si>
    <t>MDF-Man-0065</t>
  </si>
  <si>
    <t>MDF-Man-0066</t>
  </si>
  <si>
    <t>MDF-Man-0067</t>
  </si>
  <si>
    <t>MDF-Man-0068</t>
  </si>
  <si>
    <t>MDF-Man-0069</t>
  </si>
  <si>
    <t>MDF-Man-0070</t>
  </si>
  <si>
    <t>MDF-Man-0071</t>
  </si>
  <si>
    <t>MDF-Man-0072</t>
  </si>
  <si>
    <t>MDF-Man-0073</t>
  </si>
  <si>
    <t>MDF-Man-0074</t>
  </si>
  <si>
    <t>MDF-Man-0075</t>
  </si>
  <si>
    <t>MDF-Man-0076</t>
  </si>
  <si>
    <t>MDF-Man-0077</t>
  </si>
  <si>
    <t>MDF-Man-0078</t>
  </si>
  <si>
    <t>MDF-Man-0079</t>
  </si>
  <si>
    <t>MDF-Man-0081</t>
  </si>
  <si>
    <t>MDF-Man-0082</t>
  </si>
  <si>
    <t>MDF-Man-0083</t>
  </si>
  <si>
    <t>MDF-Man-0084</t>
  </si>
  <si>
    <t>MDF-Man-0085</t>
  </si>
  <si>
    <t>MDF-Man-0086</t>
  </si>
  <si>
    <t>MDF-Man-0087</t>
  </si>
  <si>
    <t>MDF-Man-0088</t>
  </si>
  <si>
    <t>MDF-Man-0089</t>
  </si>
  <si>
    <t>MDF-Man-0090</t>
  </si>
  <si>
    <t>MDF-Man-0091</t>
  </si>
  <si>
    <t>MDF-Man-0092</t>
  </si>
  <si>
    <t>MDF-Man-0093</t>
  </si>
  <si>
    <t>MDF-Man-0094</t>
  </si>
  <si>
    <t>MDF-Man-0095</t>
  </si>
  <si>
    <t>MDF-Man-0096</t>
  </si>
  <si>
    <t>MDF-Man-0097</t>
  </si>
  <si>
    <t>MDF-Man-0098</t>
  </si>
  <si>
    <t>MDF-Man-0099</t>
  </si>
  <si>
    <t>MDF-Man-0100</t>
  </si>
  <si>
    <t>MDF-Man-0101</t>
  </si>
  <si>
    <t>MDF-Man-0103</t>
  </si>
  <si>
    <t>MDF-Man-0104</t>
  </si>
  <si>
    <t>MDF-Man-0105</t>
  </si>
  <si>
    <t>MDF-Man-0106</t>
  </si>
  <si>
    <t>MDF-Man-0107</t>
  </si>
  <si>
    <t>MDF-Man-0108</t>
  </si>
  <si>
    <t>MDF-Man-0109</t>
  </si>
  <si>
    <t>MDF-Man-0110</t>
  </si>
  <si>
    <t>MDF-Man-0111</t>
  </si>
  <si>
    <t>MDF-Man-0112</t>
  </si>
  <si>
    <t>MDF-Man-0113</t>
  </si>
  <si>
    <t>MDF-Man-0114</t>
  </si>
  <si>
    <t>MDF-Man-0115</t>
  </si>
  <si>
    <t>MDF-Man-0117</t>
  </si>
  <si>
    <t>MDF-Man-0118</t>
  </si>
  <si>
    <t>MDF-Man-0119</t>
  </si>
  <si>
    <t>MDF-Man-0120</t>
  </si>
  <si>
    <t>MDF-Man-0121</t>
  </si>
  <si>
    <t>MDF-Man-0122</t>
  </si>
  <si>
    <t>MDF-Man-0124</t>
  </si>
  <si>
    <t>MDF-Man-0125</t>
  </si>
  <si>
    <t>% ITEM</t>
  </si>
  <si>
    <t>UNIDADE:</t>
  </si>
  <si>
    <t>PREÇO:</t>
  </si>
  <si>
    <t>% ACUMULADO</t>
  </si>
  <si>
    <t>NOTAS:</t>
  </si>
  <si>
    <t>kg</t>
  </si>
  <si>
    <t>Tx</t>
  </si>
  <si>
    <t>Combustível / gasolina comum ou equivalente</t>
  </si>
  <si>
    <t>und</t>
  </si>
  <si>
    <t>L</t>
  </si>
  <si>
    <t>Referência</t>
  </si>
  <si>
    <t>Und.</t>
  </si>
  <si>
    <t>P. Unit.</t>
  </si>
  <si>
    <t>MÃO DE OBRA:</t>
  </si>
  <si>
    <t>MATERIAIS:</t>
  </si>
  <si>
    <t>ENC. SOCIAIS =</t>
  </si>
  <si>
    <t>BDI =</t>
  </si>
  <si>
    <t>ENC.  SOCIAIS =</t>
  </si>
  <si>
    <t>CAESB / ANA</t>
  </si>
  <si>
    <t>Veículo comercial leve (Pick-up) cap. carga 700kg - motor 1.0 flex. Pot. 72 / 76CV (inc. manutenção mecânica / operação, exceto combustível)</t>
  </si>
  <si>
    <t>EQUIPAMENTOS:</t>
  </si>
  <si>
    <t>TOTAL EQUIP.</t>
  </si>
  <si>
    <t>Histórico de Contratos Similares</t>
  </si>
  <si>
    <t>kWh</t>
  </si>
  <si>
    <t>00034780 - SINAPI Recalculado</t>
  </si>
  <si>
    <t>00001160 - SINAPI Adaptado</t>
  </si>
  <si>
    <t xml:space="preserve">00004222 - SINAPI </t>
  </si>
  <si>
    <t>REFERÊNCIA:</t>
  </si>
  <si>
    <t xml:space="preserve"> 00002436 - SINAPI Adaptado</t>
  </si>
  <si>
    <t xml:space="preserve"> 00004222 - SINAPI Adaptado</t>
  </si>
  <si>
    <t xml:space="preserve"> 00001160 - SINAPI Adaptado</t>
  </si>
  <si>
    <t xml:space="preserve"> Histórico Contratos MDF</t>
  </si>
  <si>
    <t xml:space="preserve">  00014583 - SINAPI Adaptado</t>
  </si>
  <si>
    <t xml:space="preserve"> 00014250 - SINAPI Adaptado </t>
  </si>
  <si>
    <t>00014250 - SINAPI Adaptado</t>
  </si>
  <si>
    <t>00014583 - SINAPI Adaptado</t>
  </si>
  <si>
    <t>Histórico Contratos MDF</t>
  </si>
  <si>
    <t>00004222 - SINAPI Adaptado</t>
  </si>
  <si>
    <t>Telefone Celular / Internet Estimado (03 Unidades)(P. Unitário p / 03 Unidades)</t>
  </si>
  <si>
    <t>Total do Custo</t>
  </si>
  <si>
    <t xml:space="preserve">CRONOGRAMA FÍSICO-FINANCEIRO PRELIMINAR (ESTIMADO) </t>
  </si>
  <si>
    <t>FL.: 01 / 01</t>
  </si>
  <si>
    <r>
      <t>VALOR ESTIMADO DOS SERVIÇOS:</t>
    </r>
    <r>
      <rPr>
        <b/>
        <sz val="14"/>
        <rFont val="Arial"/>
        <family val="2"/>
      </rPr>
      <t xml:space="preserve">                                                                                                </t>
    </r>
  </si>
  <si>
    <r>
      <rPr>
        <b/>
        <sz val="14"/>
        <color theme="1"/>
        <rFont val="Arial"/>
        <family val="2"/>
      </rPr>
      <t>BDI / LDI</t>
    </r>
    <r>
      <rPr>
        <sz val="14"/>
        <color theme="1"/>
        <rFont val="Arial"/>
        <family val="2"/>
      </rPr>
      <t>: 25,84% (Incluso)</t>
    </r>
  </si>
  <si>
    <t xml:space="preserve">ITEM </t>
  </si>
  <si>
    <t>DISCRIMINAÇÃO DO SERVIÇO</t>
  </si>
  <si>
    <t>%  DO ITEM ACUMULADO</t>
  </si>
  <si>
    <t>T0TAL DO ITEM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</si>
  <si>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</si>
  <si>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</si>
  <si>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</si>
  <si>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</si>
  <si>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</si>
  <si>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</si>
  <si>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</si>
  <si>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</si>
  <si>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</si>
  <si>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</si>
  <si>
    <t>11º Mês</t>
  </si>
  <si>
    <t>12º Mês</t>
  </si>
  <si>
    <t>1 a 30 dias</t>
  </si>
  <si>
    <t>31 a 60 dias</t>
  </si>
  <si>
    <t>61 a 90 dias</t>
  </si>
  <si>
    <t>91 a 120 dias</t>
  </si>
  <si>
    <t xml:space="preserve"> 121 a 150 dias</t>
  </si>
  <si>
    <t>151 a 180 dias</t>
  </si>
  <si>
    <t>181 a 210 dias</t>
  </si>
  <si>
    <t>211 a 240 dias</t>
  </si>
  <si>
    <t>241 a 270 dias</t>
  </si>
  <si>
    <t>271 a 300 dias</t>
  </si>
  <si>
    <t>301 a 330 dias</t>
  </si>
  <si>
    <t>331 a 360dias</t>
  </si>
  <si>
    <t>PRELIMINARES (MANUTENÇÃO PREVENTIVA / CORRETIVA)</t>
  </si>
  <si>
    <t>02</t>
  </si>
  <si>
    <t>IMPLANTAÇÃO / ADMINISTRAÇÃO (MAN. PREVENTIVA / CORRETIVA)</t>
  </si>
  <si>
    <t>03</t>
  </si>
  <si>
    <t>04</t>
  </si>
  <si>
    <t>05</t>
  </si>
  <si>
    <t>06</t>
  </si>
  <si>
    <t>07</t>
  </si>
  <si>
    <t>DESEMBOLSO MENSAL ESTIMADO (R$)</t>
  </si>
  <si>
    <t>-</t>
  </si>
  <si>
    <t>DESEMBOLSO ACUMULADO (R$)</t>
  </si>
  <si>
    <t>PERCENTAGEM MENSAL (%)</t>
  </si>
  <si>
    <t>PERCENTAGEM MENSAL  ACUMULADA (%)</t>
  </si>
  <si>
    <t>32.003.000001.SER</t>
  </si>
  <si>
    <t>32.003.000002.SER</t>
  </si>
  <si>
    <t>32.003.000003.SER</t>
  </si>
  <si>
    <t>32.004.000001.SER</t>
  </si>
  <si>
    <t>32.004.000002.SER</t>
  </si>
  <si>
    <t>32.004.000003.SER</t>
  </si>
  <si>
    <t xml:space="preserve">PINI 2016 + BDI </t>
  </si>
  <si>
    <t>PINI 2016 
C/FORMULA</t>
  </si>
  <si>
    <t>TOTAL</t>
  </si>
  <si>
    <t>Taxa Registro Contrato Execução Serviços Manutenção Edificações CREA / DF - Valor &gt; R$ 15.000,00</t>
  </si>
  <si>
    <t xml:space="preserve"> IMPLANTAÇÃO / ADMINISTRAÇÃO (MANUTENÇÃO PREVENTIVA / CORRETIVA):</t>
  </si>
  <si>
    <t xml:space="preserve">a) Vide demonstrações e informações referentes às taxas de encargos sociais, inclusas nos preços unitários de mão de obra;                                                                                                                                </t>
  </si>
  <si>
    <r>
      <rPr>
        <b/>
        <sz val="14"/>
        <rFont val="Arial"/>
        <family val="2"/>
      </rPr>
      <t>LEIS SOCIAIS PONDERADAS DIURNO E NOTURNO/COMPLEMENTARES:</t>
    </r>
    <r>
      <rPr>
        <sz val="10"/>
        <rFont val="Arial"/>
        <family val="2"/>
      </rPr>
      <t xml:space="preserve"> COMPUTADO NOS CÁLCULOS ADICIONAL NOTURNO, ENCARGOS SOBRE HORAS EXTRAS / HORÁRIOS RESTRITOS E ENCARGOS COMPLEMENTARES POR CARGO / FUNÇÃO.</t>
    </r>
  </si>
  <si>
    <t>DISCRIMINAÇÃO CARGO/FUNÇÃO</t>
  </si>
  <si>
    <t>PINI 2016 
S/FORMULA</t>
  </si>
  <si>
    <t>Tab. CREA-DF</t>
  </si>
  <si>
    <r>
      <t>Taxa referente ao registro de contrato objeto dos serviços de manutenção de edificações do METRÔ-DF, junto ao</t>
    </r>
    <r>
      <rPr>
        <b/>
        <sz val="9"/>
        <rFont val="Arial"/>
        <family val="2"/>
      </rPr>
      <t xml:space="preserve"> CREA-DF</t>
    </r>
    <r>
      <rPr>
        <sz val="9"/>
        <rFont val="Arial"/>
        <family val="2"/>
      </rPr>
      <t xml:space="preserve"> (Contrato de valor &gt; R$ 15.000,00)</t>
    </r>
  </si>
  <si>
    <t>MDF-Man-0007</t>
  </si>
  <si>
    <t>Veículo Comercial Leve (Pick-Up) c/ Capacidade de Carga 700 kg - Motor 1.0 Flex, Pot. 72/76 CV (Incluindo Manutenção Mecânica / Operação, Exceto Combustível)(01 Unidade)(P. Unitário p / 01 Veículo)</t>
  </si>
  <si>
    <t>Combustível / Gasolina Comum ou Equivalente (45,00 Litros / Semana / Veiculo ou 196,00 Litros / Mês / Veiculo)(P. Unitário Combustível Mensal p / 02 veículos)</t>
  </si>
  <si>
    <t>02.2.2</t>
  </si>
  <si>
    <r>
      <t xml:space="preserve">Taxa referente ao Registro de Anotação de Responsabilidade Técnica - </t>
    </r>
    <r>
      <rPr>
        <b/>
        <sz val="9"/>
        <rFont val="Arial"/>
        <family val="2"/>
      </rPr>
      <t>ART</t>
    </r>
    <r>
      <rPr>
        <sz val="9"/>
        <rFont val="Arial"/>
        <family val="2"/>
      </rPr>
      <t xml:space="preserve"> junto ao </t>
    </r>
    <r>
      <rPr>
        <b/>
        <sz val="9"/>
        <rFont val="Arial"/>
        <family val="2"/>
      </rPr>
      <t>CREA-DF</t>
    </r>
    <r>
      <rPr>
        <sz val="9"/>
        <rFont val="Arial"/>
        <family val="2"/>
      </rPr>
      <t xml:space="preserve"> objeto dos serviços de manutenção de edificações do METRÔ-DF</t>
    </r>
  </si>
  <si>
    <t>Rateio de energia elétrica referente ao escritório central + frentes de serviços (3.750 kWh/mês)</t>
  </si>
  <si>
    <t>Rateio de despesas com energia elétrica, referente aos consumos estimados no escritório central da futura Contratada (Complexo Administrativo e Operacional - CAO) + frentes de serviços de manutenção de edificações totalizando 3.750 kWh/mês (Código Insumos - 00014250 - SINAPI)</t>
  </si>
  <si>
    <t>NOTA:
Valor mensal estimado a ser ressarcido ao METRÔ-DF pela futura Contratada R$1.840,41</t>
  </si>
  <si>
    <t>Rateio de água potável/esgoto referente ao escritório central + frentes de serviços (300,00m³ + taxa de esgoto/mês)</t>
  </si>
  <si>
    <t>Rateio de despesas com água potável / esgotos referente aos consumos estimados no escritório central da futura Contratada (Complexo Administrativo e Operacional - CAO) + frentes de serviços de manutenção de edificações totalizando 300,00m³/mês (Código de Insumos 00014583 - SINAPI)</t>
  </si>
  <si>
    <t>Telefone celular / Internet (P. Unitário p / 03 unidades)</t>
  </si>
  <si>
    <t>Valor estimado referente às despesas mensais com telefone / internet (03 unidades) (3x R$250,00 = R$ 750,00/mês)</t>
  </si>
  <si>
    <t>Veículo comercial leve (pick-up) c/ capacidade de carga de 700kg - motor 1.0 flex, Pot. 72 / 76CV(incluindo manutenção mecânica / operação, exceto combustível) (220,00 h x R$8,53 / h) (locação mensal) - 00001160 SINAPI</t>
  </si>
  <si>
    <t>Combustível / gasolina comum ou equivalente (45,00 Litros / semana / veículo ou 196,00 Litros / mês / Veículo (196,00 Litros / veículo X 02 veículos =392,00 litros / mês)(00004222 - SINAPI)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</si>
  <si>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
Encargos Sociais para Mensalista 1º Turno / Diurno +  Enc. Complementares= 49,52% + 26,43% =75,95</t>
    </r>
    <r>
      <rPr>
        <b/>
        <sz val="9"/>
        <rFont val="Arial"/>
        <family val="2"/>
      </rPr>
      <t>%</t>
    </r>
    <r>
      <rPr>
        <sz val="9"/>
        <rFont val="Arial"/>
        <family val="2"/>
      </rPr>
      <t xml:space="preserve"> (</t>
    </r>
    <r>
      <rPr>
        <b/>
        <sz val="9"/>
        <rFont val="Arial"/>
        <family val="2"/>
      </rPr>
      <t>Vide demonstração, cópia anexa)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</si>
  <si>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
Encargos Sociais para Mensalista 1º Turno / Diurno + Enc. Complementares= 49,52% + 33,69% = 83,21</t>
    </r>
    <r>
      <rPr>
        <b/>
        <sz val="9"/>
        <rFont val="Arial"/>
        <family val="2"/>
      </rPr>
      <t xml:space="preserve"> (Vide demonstração, cópia anexa</t>
    </r>
    <r>
      <rPr>
        <sz val="9"/>
        <rFont val="Arial"/>
        <family val="2"/>
      </rPr>
      <t>).</t>
    </r>
  </si>
  <si>
    <t>Trapos</t>
  </si>
  <si>
    <t>Detergente</t>
  </si>
  <si>
    <t>Óleo para Bomba de Vácuo</t>
  </si>
  <si>
    <t>Gás R22 Importado 13,6 kg EOS/Refrigera</t>
  </si>
  <si>
    <t>Gás R-141B Descartável 13,6 kg</t>
  </si>
  <si>
    <t>Oxigênio (m³)</t>
  </si>
  <si>
    <t>Acetileno (m³)</t>
  </si>
  <si>
    <t>Fita Transparente p/ Embal. 45MMx45M</t>
  </si>
  <si>
    <t>Fita PVC 100mm Branca Rolo c/ 10m</t>
  </si>
  <si>
    <t>Fita de Isolação Silvertape PVC Cinza 48x40m</t>
  </si>
  <si>
    <t>Fita Preta Unifix 50mm x 30cm Demarcação</t>
  </si>
  <si>
    <t>Total do Item 04 (Para 12 Meses)</t>
  </si>
  <si>
    <t>INSUMOS (MANUTENÇÃO PREVENTIVA E CORRETIVA)</t>
  </si>
  <si>
    <t>MATERIAIS CONSUMÍVEIS (MANUTENÇÃO PREVENTIVA E CORRETIVA)</t>
  </si>
  <si>
    <t>Tubo de Cobre DN 5/8" (KG)</t>
  </si>
  <si>
    <t>Tubo de Cobre DN 1/4"</t>
  </si>
  <si>
    <t>Filtro de Gás de 1 Saída</t>
  </si>
  <si>
    <t>Filtro de Gás de 2 Saídas</t>
  </si>
  <si>
    <t>Filtro de Gás de 3 Saídas</t>
  </si>
  <si>
    <t>Filtro de Gás de 4 Saídas</t>
  </si>
  <si>
    <t>Kit Flange de Corte</t>
  </si>
  <si>
    <t>Porca Forjada 1/4"</t>
  </si>
  <si>
    <t>Válvula Tanque 1/4" SAE X 1/4" NPT</t>
  </si>
  <si>
    <t>Tampão 1/4" NPT Macho</t>
  </si>
  <si>
    <t>Tubo de Cobre 1/4"</t>
  </si>
  <si>
    <t>Tubo de Cobre Diâmetro 1/2"</t>
  </si>
  <si>
    <t>Compressor Hitachi 9.000 BTU'S 220v SPLIT</t>
  </si>
  <si>
    <t>Compressor para Ar Condicionado 7500 BTUS</t>
  </si>
  <si>
    <t>Manômetro, 63mm, Alta, 1/8" NPT</t>
  </si>
  <si>
    <t>Núcleo, Filtro, Sucção 48F, DCR</t>
  </si>
  <si>
    <t>Elemento Filtrante, 48-DA, DANFOSS</t>
  </si>
  <si>
    <t>Cabo Elétrico Flexível Preto 3 X 2,5MMCS</t>
  </si>
  <si>
    <t>Tubo Isolante 1.1/8 Cinza Plipex Barra 2</t>
  </si>
  <si>
    <t>Compressor Rotativo 24.000 BTUS/H 220V</t>
  </si>
  <si>
    <t>Solda Foscoper c/Banho 2,5 X 500mm BT-470</t>
  </si>
  <si>
    <t>Óleo p/ Bomba de Vácuo ISO 46 MONTREAL</t>
  </si>
  <si>
    <t>Termostato para ACJ 18000 BTUS SPRINGER</t>
  </si>
  <si>
    <t>Motor Ventilador para Ar Condicionado - 18000 BTUS</t>
  </si>
  <si>
    <t>Motor Ventilador para Ar Condicionado - 30000 BTUS</t>
  </si>
  <si>
    <t>Conj. Astop com Tomada 2P+TE Disjuntor de 32 Amperes</t>
  </si>
  <si>
    <t>Tubo de Cobre 1/2"</t>
  </si>
  <si>
    <t>Porca para Flange 1/2"</t>
  </si>
  <si>
    <t>Porca para Flange 1/4"</t>
  </si>
  <si>
    <t>Porca para Flange 5/8"</t>
  </si>
  <si>
    <t>Porca para Flange 3/8"</t>
  </si>
  <si>
    <t>Capacitor de 20MF</t>
  </si>
  <si>
    <t>Capacitor de 25MF</t>
  </si>
  <si>
    <t>Capacitor de 30MF</t>
  </si>
  <si>
    <t>Turbina Plástica para SPLIT 18000 BTUS HIWALL</t>
  </si>
  <si>
    <t>Turbina para ACJ 18000 BTUS MUNDIAL</t>
  </si>
  <si>
    <t>Capacitor Eletrolítico 347MF</t>
  </si>
  <si>
    <t>Capacitor Eletrolítico 5MF</t>
  </si>
  <si>
    <t>Gás YH222A</t>
  </si>
  <si>
    <t>Hélice para ACJ 18000 BTUS MUNDIAL</t>
  </si>
  <si>
    <t>Hélice para ACJ 30000 BTUS MUNDIAL</t>
  </si>
  <si>
    <t>Termostato Mod. 423030 SPRINGER RC 80810-2</t>
  </si>
  <si>
    <t>MDF-Man-0058</t>
  </si>
  <si>
    <t>MDF-Man-0060</t>
  </si>
  <si>
    <t>MDF-Man-0062</t>
  </si>
  <si>
    <t>unid.</t>
  </si>
  <si>
    <t>Manta Filtrante para ar 06mm F-150</t>
  </si>
  <si>
    <t>Cotação GTE-MDF</t>
  </si>
  <si>
    <t xml:space="preserve">Graxa lubrificante </t>
  </si>
  <si>
    <t>cil</t>
  </si>
  <si>
    <t>Total do Item 05 (Para 12 Meses)</t>
  </si>
  <si>
    <t>Total do Item 06 (Para 12 Meses)</t>
  </si>
  <si>
    <t>SERVICOS EVENTUAIS SOB DEMANDA (MANUTENÇÃO CORRETIVA / PREVENTIVA)</t>
  </si>
  <si>
    <t>MDF-Man-0116</t>
  </si>
  <si>
    <t>MDF-Man-0123</t>
  </si>
  <si>
    <t>BDI PARA FORNECIMENTO DE PEÇAS</t>
  </si>
  <si>
    <t>BDI PARA SERVIÇOS</t>
  </si>
  <si>
    <t>Concor. Nº. 01/2016-TCDF</t>
  </si>
  <si>
    <t>Compressor rotativo 220v ACJ 12.000 BTUS</t>
  </si>
  <si>
    <t>Compressor rotativo 220v ACJ 18.000 BTUS</t>
  </si>
  <si>
    <t>Cabo Flexível PVC 750 V, 3 Condutores de 4,0 mm2</t>
  </si>
  <si>
    <t>00034621
SINAPI</t>
  </si>
  <si>
    <t>Fita PVC Refrigeração Ar Condicionado 100xmm x 10m</t>
  </si>
  <si>
    <t>Joelhor PVC, Soldável, 90 Graus, 25mm, Para Água Fria Predial</t>
  </si>
  <si>
    <t>00003529 - SINAPI</t>
  </si>
  <si>
    <t xml:space="preserve">Manômetro Manifull P/R-22 Imperial ou similar </t>
  </si>
  <si>
    <t>00000013 - SINAPI</t>
  </si>
  <si>
    <t>Barra de Tubo PVC Soldável 25mm</t>
  </si>
  <si>
    <t>00009868 - SINAPI</t>
  </si>
  <si>
    <t>Válvula de refrigeração, Latão 1/4" Shrader ou Similar</t>
  </si>
  <si>
    <t>Conj. Astop com Tomada 2P+TE Disjuntor de 20 Amperes</t>
  </si>
  <si>
    <t>Cilindro Nitrogênio</t>
  </si>
  <si>
    <t>Compressor rotativo 220v ACJ 30000 BTUS</t>
  </si>
  <si>
    <t>um</t>
  </si>
  <si>
    <t>unid</t>
  </si>
  <si>
    <t>Desingripante WD40 ou Similar</t>
  </si>
  <si>
    <t xml:space="preserve">Elemento Filtrante, 48-DC, DANFOSS ou Similar </t>
  </si>
  <si>
    <t>Tubo Esponjoso - PEC 3/4" - Polipex ou Similar</t>
  </si>
  <si>
    <t>Pasta para Solda Tido Estanho</t>
  </si>
  <si>
    <t>Estanho em fio para Solda - Carretel com 500g</t>
  </si>
  <si>
    <t xml:space="preserve">Rele Voltimetrico monofásico </t>
  </si>
  <si>
    <t>c) As taxa de BDI = 14,02% e 25,84%,  foram calculadas pelo GTE, adotando-se parâmetros médios,  constantes do Acórdão Nº 2.622 / 2013 - TCU / Plenário - Vide demonstração, anexa;</t>
  </si>
  <si>
    <t>ferramenta</t>
  </si>
  <si>
    <t>3 OU 2?</t>
  </si>
  <si>
    <t>Limpador Concentrado Biorefri ou similar - GL 5LTS</t>
  </si>
  <si>
    <t>Parafuso e Bucha S-06</t>
  </si>
  <si>
    <t>Parafuso e Bucha S-08</t>
  </si>
  <si>
    <t>Parafuso e Bucha S-10</t>
  </si>
  <si>
    <t>Fita de Alta Fusão 3M ou Equivalente Técnico</t>
  </si>
  <si>
    <t>Fita Isolante 3M ou Equivante Técnico</t>
  </si>
  <si>
    <t>Correia B 48 Goodyear ou Equivalente Técnico</t>
  </si>
  <si>
    <t>Correia B 63 Goodyear ou Equivalente Técnico</t>
  </si>
  <si>
    <t>Correia B 42 Goodyear ou Equivalente Técnico</t>
  </si>
  <si>
    <t>Correia BX 42 Goodyear ou Equivalente Técnico</t>
  </si>
  <si>
    <t>Correia B 52 Goodyear ou Equivalente Técnico</t>
  </si>
  <si>
    <t xml:space="preserve">Tubo de Cobre 3/8" Flexível </t>
  </si>
  <si>
    <t>Tubo de Cobre 5/8" Flexível</t>
  </si>
  <si>
    <t>Joelho para Tubo de cobre Flexível 3/8" 90º</t>
  </si>
  <si>
    <t>Joelho para Tubo de cobre Flexível 1/2" 90º</t>
  </si>
  <si>
    <t>Joelho para Tubo de cobre Flexível 5/8" 90º</t>
  </si>
  <si>
    <t>Luva Tubo de Cobre Flexível 1/2"</t>
  </si>
  <si>
    <t>Luva Tubo de Cobre Flexível 3/8"</t>
  </si>
  <si>
    <t>Luva Tubo de Cobre Flexível 5/8"</t>
  </si>
  <si>
    <t>Tubo Esponjoso de 1"  - Polipex ou Similar</t>
  </si>
  <si>
    <t>Limpador Concentrado Para Alumínio Thilex ou Similar</t>
  </si>
  <si>
    <t>EQUIPE MÍNIMA RESIDENTE P/ MANUTENÇÃO CORRETIVA (MENSALISTA) (HORÁRIO DE 08:00 ÀS 18:00):</t>
  </si>
  <si>
    <t>EQUIPE MÍNIMA RESIDENTE P/ MANUTENÇÃO PREVENTIVA E CORRETIVA (MENSALISTA) (ESCALA 12 (DOZE) x 36 (TRINTA E SEIS) HORAS:</t>
  </si>
  <si>
    <r>
      <rPr>
        <b/>
        <sz val="14"/>
        <rFont val="Arial"/>
        <family val="2"/>
      </rPr>
      <t>REFERÊNCIA DOS PREÇOS</t>
    </r>
    <r>
      <rPr>
        <b/>
        <sz val="12"/>
        <rFont val="Arial"/>
        <family val="2"/>
      </rPr>
      <t>: SINAPI - CEF</t>
    </r>
    <r>
      <rPr>
        <sz val="12"/>
        <rFont val="Arial"/>
        <family val="2"/>
      </rPr>
      <t xml:space="preserve"> E TABELA DE CUSTOS DE SERVIÇOS DE MANUTENÇÃO DO SISTEMA DE CLIMATIZAÇÃO - TCPO 14 </t>
    </r>
    <r>
      <rPr>
        <b/>
        <sz val="12"/>
        <rFont val="Arial"/>
        <family val="2"/>
      </rPr>
      <t>EDITORA PINI.</t>
    </r>
  </si>
  <si>
    <t>REF.:AGOSTO /2016</t>
  </si>
  <si>
    <t>Revisão de conjunto motobomba de água gelada, com motor elétrico, trifasica, marcas KSB e GLASS, 5,0 CV, incluindo carga, descarga e transporte, limpeza geral, revisão mecânica, remoção e execução de novo enrolamento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</si>
  <si>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2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</si>
  <si>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3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</si>
  <si>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4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</si>
  <si>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5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</si>
  <si>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6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</si>
  <si>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12,5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</si>
  <si>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conjunto motobomba de água gelada, com motor elétrico, trifasica, marcas KSB e GLASS, 6,0 CV, incluindo carga, descarga e transporte, limpeza geral, revisão mecânica, remoção e execução de novo enrolamento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</si>
  <si>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conjunto motobomba de água gelada, com motor elétrico, trifasica, marcas KSB e GLASS, 12,5 CV, incluindo carga, descarga e transporte, limpeza geral, revisão mecânica, remoção e execução de novo enrolamento (se necessário), substituição de componentes elétricos diversos, amortecedores anti-vibração, acessórios mecânicos, enfim tudo o que for necessário para deixar os referidos equipamentos em perfeitas condições de uso e funcionamento.</t>
  </si>
  <si>
    <t>MDF-Man-0040</t>
  </si>
  <si>
    <t>MDF-Man-0080</t>
  </si>
  <si>
    <t>MDF-Man-0102</t>
  </si>
  <si>
    <t>Taxa Anotação de Responsabilidade Técnica do Engenheiro - ART CREA / DF</t>
  </si>
  <si>
    <t>07.42</t>
  </si>
  <si>
    <t>07.43</t>
  </si>
  <si>
    <t>07.44</t>
  </si>
  <si>
    <t>07.45</t>
  </si>
  <si>
    <t>07.46</t>
  </si>
  <si>
    <t>07.47</t>
  </si>
  <si>
    <t>07.48</t>
  </si>
  <si>
    <t>07.49</t>
  </si>
  <si>
    <t>07.50</t>
  </si>
  <si>
    <t>07.51</t>
  </si>
  <si>
    <t>07.52</t>
  </si>
  <si>
    <t>07.53</t>
  </si>
  <si>
    <t>07.54</t>
  </si>
  <si>
    <t>07.55</t>
  </si>
  <si>
    <t>07.56</t>
  </si>
  <si>
    <t>07.57</t>
  </si>
  <si>
    <r>
      <rPr>
        <b/>
        <sz val="14"/>
        <color theme="1"/>
        <rFont val="Arial"/>
        <family val="2"/>
      </rPr>
      <t>LOCAL SERVIÇOS.:</t>
    </r>
    <r>
      <rPr>
        <b/>
        <sz val="12"/>
        <color theme="1"/>
        <rFont val="Arial"/>
        <family val="2"/>
      </rPr>
      <t xml:space="preserve"> </t>
    </r>
    <r>
      <rPr>
        <sz val="12"/>
        <rFont val="Arial"/>
        <family val="2"/>
      </rPr>
      <t xml:space="preserve">TODAS ESTAÇÕES, TORRES E EDIFICAÇÕES EXISTENTES NO COMPLEXO ADMINISTRATIVO E OPERACIONAL DO METRÔ-DF,  </t>
    </r>
  </si>
  <si>
    <r>
      <t>Taxa Registro Contrato Execução Serviços Manutenção Edificações CREA / DF -</t>
    </r>
    <r>
      <rPr>
        <b/>
        <sz val="12"/>
        <rFont val="Calibri"/>
        <family val="2"/>
        <scheme val="minor"/>
      </rPr>
      <t xml:space="preserve"> Valor &gt; R$ 15.000,00</t>
    </r>
  </si>
  <si>
    <r>
      <t xml:space="preserve">Taxa Anotação de Responsabilidade Técnica do Engenheiro - </t>
    </r>
    <r>
      <rPr>
        <b/>
        <sz val="12"/>
        <rFont val="Calibri"/>
        <family val="2"/>
        <scheme val="minor"/>
      </rPr>
      <t>ART</t>
    </r>
    <r>
      <rPr>
        <sz val="12"/>
        <rFont val="Calibri"/>
        <family val="2"/>
        <scheme val="minor"/>
      </rPr>
      <t xml:space="preserve"> CREA / DF</t>
    </r>
  </si>
  <si>
    <r>
      <t xml:space="preserve">e) Nas discriminações de serviços, onde aparecem marcas / nomes de fabricantes de materiais e equipamentos, a exemplo dos itens de serviços / preços, extraidos da Planilha de Custos Analítico  de Manutenção e Reformas TCMR - DF, elaborada pela Editora PINI, considere-se as marcas / nomes de fabricantes, acrescidos do termo: ou </t>
    </r>
    <r>
      <rPr>
        <b/>
        <i/>
        <sz val="12"/>
        <rFont val="Arial"/>
        <family val="2"/>
      </rPr>
      <t xml:space="preserve">equivalente técnico. </t>
    </r>
  </si>
  <si>
    <t>VALOR TOTAL 
COM BDI</t>
  </si>
  <si>
    <t>TOTAL
 (COM BDI INCLUSO)</t>
  </si>
  <si>
    <t>Correia BXS 40 Goodyear ou Equivalente Técnico</t>
  </si>
  <si>
    <t>Correia BXS 64 Goodyear ouo Equivalente Técnico</t>
  </si>
  <si>
    <t xml:space="preserve">C orreia BXS 65 Goodyear ou Equivalente Técnico </t>
  </si>
  <si>
    <t xml:space="preserve">Correia BXS 67 Goodyear ou Equivalente Técnico </t>
  </si>
  <si>
    <t>07.58</t>
  </si>
  <si>
    <t>07.59</t>
  </si>
  <si>
    <t>07.60</t>
  </si>
  <si>
    <t>07.61</t>
  </si>
  <si>
    <t>INSUMOS E MATERIAIS CONSUMÍVEIS (MANUTENÇÃO PREVENTIVA E CORRETIVA)</t>
  </si>
  <si>
    <t>FORNECIMENTO DE PEÇAS E EQUIPAMENTOS, SOB DEMANDA (MANUTENÇÃO PREVENTIVA E CORRETIVA)</t>
  </si>
  <si>
    <t>SERVICOS EVENTUAIS, SOB DEMANDA (MANUTENÇÃO CORRETIVA / PREVENTIVA)</t>
  </si>
  <si>
    <t>Total do Item 07 (Para 12 Meses)</t>
  </si>
  <si>
    <t>MDF-Man-0017</t>
  </si>
  <si>
    <t>MDF-Man-0018</t>
  </si>
  <si>
    <t>Rateio Estimado Água Potável / Esgoto Escritório Central + Frentes de Srviços (19,50m³ + Taxa Esgoto) / Mês (A ser Reembolsado pela CONTRATADA)</t>
  </si>
  <si>
    <t>Rateio Estimado Energia Elétrica Escritório Central + Frentes de Serviços (2.000 kWh / Mês)(A ser Reembolsado pela CONTRATADA)</t>
  </si>
  <si>
    <t xml:space="preserve"> Taxa referente a devolução da água servida à rede de esgoto da Concessionária (A tarifa de esgotos será calculada com base na cobrança de água, sistema convencional 100% - CAESB)</t>
  </si>
  <si>
    <t>05.13</t>
  </si>
  <si>
    <t>05.14</t>
  </si>
  <si>
    <t>05.15</t>
  </si>
  <si>
    <t>05.16</t>
  </si>
  <si>
    <t>05.17</t>
  </si>
  <si>
    <t>05.18</t>
  </si>
  <si>
    <t>05.19</t>
  </si>
  <si>
    <t>05.20</t>
  </si>
  <si>
    <t>05.21</t>
  </si>
  <si>
    <t>05.22</t>
  </si>
  <si>
    <t>05.23</t>
  </si>
  <si>
    <t>05.24</t>
  </si>
  <si>
    <t>05.25</t>
  </si>
  <si>
    <t>05.26</t>
  </si>
  <si>
    <t>05.27</t>
  </si>
  <si>
    <t>05.28</t>
  </si>
  <si>
    <t>05.29</t>
  </si>
  <si>
    <t>05.30</t>
  </si>
  <si>
    <t>05.31</t>
  </si>
  <si>
    <t>05.32</t>
  </si>
  <si>
    <t>05.33</t>
  </si>
  <si>
    <t>05.34</t>
  </si>
  <si>
    <t>05.35</t>
  </si>
  <si>
    <t>05.36</t>
  </si>
  <si>
    <t>6</t>
  </si>
  <si>
    <t>MDF-Man-0010</t>
  </si>
  <si>
    <t>SERVIÇOS DE MANUTENÇÃO DO SISTEMA DE AR CONDICIONADO - METRÔ/DF</t>
  </si>
  <si>
    <t xml:space="preserve">SERVIÇOS/LOCAL: PRESTAÇÃO DE SERVIÇOS COMUNS DE ENGENHARIA, TIPO CONTINUADOS DE MANUTENÇÃO PREVENTIVA, CORRETIVA E SERVIÇOS ROTINEIROS DO SISTEMA DE AR CONDICIONADO NAS EDIFICAÇÕES DO METRÔ-DF. </t>
  </si>
  <si>
    <t>NOTAS</t>
  </si>
  <si>
    <t>03.1.1</t>
  </si>
  <si>
    <t>03.2.1</t>
  </si>
  <si>
    <t>03.2.2</t>
  </si>
  <si>
    <t>03.2.3</t>
  </si>
  <si>
    <t>03.2.4</t>
  </si>
  <si>
    <t>EQUIPE MÍNIMA RESIDENTE P/ MANUTENÇÃO PREVENTIVA E CORRETIVA</t>
  </si>
  <si>
    <t>04.3</t>
  </si>
  <si>
    <t>04.4</t>
  </si>
  <si>
    <t>Engenheiro Mecânico Pleno (20 Horas Mensais)</t>
  </si>
  <si>
    <t>Eletricista p/ Manutenção (08:00 às 18:00)</t>
  </si>
  <si>
    <t>Auxiliar Administrativo (08:00 ás 18:00)</t>
  </si>
  <si>
    <t>PREÇO UNIT. INC. ENCARGOS MENSALISTA 
12 X 36 (1º TURNO DIURNO)</t>
  </si>
  <si>
    <t>PREÇO UNIT. INC. MENSALISTA 
12 X 36 (2º TURNO NOTURNO)</t>
  </si>
  <si>
    <t>horas</t>
  </si>
  <si>
    <t>00034794</t>
  </si>
  <si>
    <t>Hora</t>
  </si>
  <si>
    <t>02.1.3</t>
  </si>
  <si>
    <t>Revisão de motor elétrico trifásico, 1,5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</si>
  <si>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0,33 HP até 1,4 HP,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</si>
  <si>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PISO SALARIAL
(R$)</t>
  </si>
  <si>
    <t>CÓDIGOS</t>
  </si>
  <si>
    <t xml:space="preserve">ENCARGOS SOCIAIS  COMP.- SINAPI </t>
  </si>
  <si>
    <t>ENC. SOCIAIS MENSALISTA ESCALA 12X36
(1º TURNO - DIURNO)</t>
  </si>
  <si>
    <t>ENC. SOCIAIS MENSALISTA ESCALA 12X36
(2º TURNO - NOTURNO)</t>
  </si>
  <si>
    <t>TOTAL DE ENC. SOCIAIS MENSALISTA 
12 X 36 (1º TURNO DIURNO)</t>
  </si>
  <si>
    <t>TOTAL ENC. SOCIAIS MENSALISTA 
12 X 36 (2º TURNO NOTURNO)</t>
  </si>
  <si>
    <t>SALÁRIO TOTAL POR HORA (R$)</t>
  </si>
  <si>
    <t>ENCARGOS SOCIAIS</t>
  </si>
  <si>
    <t>TOTAL DE ENCARGOS (%)</t>
  </si>
  <si>
    <t>SALÁRIO C/ ENC. SOCIAIS  85,20%</t>
  </si>
  <si>
    <t xml:space="preserve"> 00034779 SINAPI - Adaptado</t>
  </si>
  <si>
    <t xml:space="preserve">Plano de Saúde (Lei Distrital nº 4.799/2012)= R$150,00 (Vide Concorrência 01/2016-TCDF) </t>
  </si>
  <si>
    <t>PISO SALARIAL COM AD. DE INSALUBRIDADE INCLUSO (R$)</t>
  </si>
  <si>
    <t>Eletricista p/ Manutenção  (Mensalista - 44 Horas Semanais)</t>
  </si>
  <si>
    <t>Ajudante de Manutenção  (Mensalista - 44 Hora Semanais)</t>
  </si>
  <si>
    <t>Auxiliar Administrativo (Mensalista - 44 Horas Semanais)</t>
  </si>
  <si>
    <t>Técnico em Refrigeração p/ Manutenção (12 x 36 Horas - Diurno)</t>
  </si>
  <si>
    <t>Técnico em Refrigeração p/ Manutenção  (12 x 36 Horas - Noturno)</t>
  </si>
  <si>
    <t>Plano de Saúde (Lei Distrital nº 4.799/2012)= R$150,00 (Vide Concorrência 01/2016-TCDF)</t>
  </si>
  <si>
    <t xml:space="preserve">00002350 - SINAPI </t>
  </si>
  <si>
    <t xml:space="preserve">00002436 - SINAPI 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</si>
  <si>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
Encargos Sociais para Mensalista 44,00 Horas Semanais +  Enc. Complementares= 7,08% + 49,52% =75,95</t>
    </r>
    <r>
      <rPr>
        <b/>
        <sz val="9"/>
        <rFont val="Arial"/>
        <family val="2"/>
      </rPr>
      <t>%</t>
    </r>
    <r>
      <rPr>
        <sz val="9"/>
        <rFont val="Arial"/>
        <family val="2"/>
      </rPr>
      <t xml:space="preserve"> (</t>
    </r>
    <r>
      <rPr>
        <b/>
        <sz val="9"/>
        <rFont val="Arial"/>
        <family val="2"/>
      </rPr>
      <t>Vide demonstração, cópia anexa)</t>
    </r>
    <r>
      <rPr>
        <sz val="9"/>
        <rFont val="Arial"/>
        <family val="2"/>
      </rPr>
      <t>.</t>
    </r>
  </si>
  <si>
    <t>Mecânico de Refrigeração p/ Manutenção (Mensalista - 44 Horas Semanais)</t>
  </si>
  <si>
    <t xml:space="preserve">00034794 - SINAPI </t>
  </si>
  <si>
    <t>Mecânico de Refrigeração  (Mensalista - 44 Horas Semanais)</t>
  </si>
  <si>
    <t xml:space="preserve">00000248 - SINAPI </t>
  </si>
  <si>
    <t>SINTEC - DF
ACT 2016 / 2017</t>
  </si>
  <si>
    <t>SINTEC - DF ACT 2016 / 2017</t>
  </si>
  <si>
    <t>SINTEC-DF ACT 2016 / 2017</t>
  </si>
  <si>
    <t>SINTEC-DF
ACT 2016 / 2017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</si>
  <si>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
Encargos Sociais para Mensalista 1º Turno / Diurno + Enc. Complementares= 106,49% + 33,69% </t>
    </r>
    <r>
      <rPr>
        <b/>
        <sz val="9"/>
        <rFont val="Arial"/>
        <family val="2"/>
      </rPr>
      <t>= 140,18% (Vide demonstração, cópia anexa</t>
    </r>
    <r>
      <rPr>
        <sz val="9"/>
        <rFont val="Arial"/>
        <family val="2"/>
      </rPr>
      <t>).</t>
    </r>
  </si>
  <si>
    <t xml:space="preserve">COTAÇÃO - GTE - MDF </t>
  </si>
  <si>
    <t>COTAÇÃO - GTE - MDF</t>
  </si>
  <si>
    <t>00034780 - SINAPI</t>
  </si>
  <si>
    <t>MENSALISTA 44 HORAS SEMANAIS - HORÁRIO DE 08:00 ÀS 18:00</t>
  </si>
  <si>
    <t>TAXAS DE CONSUMOS MENSAIS ESTIMADAS:</t>
  </si>
  <si>
    <t>TRANSPORTE DE PESSOAL E MATERIAIS TRECHO ESCRITÓRIO CENTRAL (COMPLEXO ADMINISTRATIVO E OPERACIONAL - CAO , EM ÁGUAS CLARAS-DF) ATÉ AS FRENTES DE SERVIÇOS:</t>
  </si>
  <si>
    <t>MENSALISTA: 05,00 HORAS SEMANAIS / 20 HORAS MENSAIS</t>
  </si>
  <si>
    <t>Engenheiro Mecânico (05 HORAS Semanais / 20 Horas Mensais)</t>
  </si>
  <si>
    <t>EQUIPE MÍNIMA RESIDENTE P/ MANUTENÇÃO PREVENTIVA E CORRETIVA  (MENSALISTA EM ESCALA 12 (DOZE) x 36 (TRINTA E SEIS) HORAS:</t>
  </si>
  <si>
    <t>Técnico em Refrigeração p/ Manutenção (12 x 36 Horas - 1º Turno  Diurno)</t>
  </si>
  <si>
    <t xml:space="preserve">Ajudante de Manutenção (12 x 36 -Horas - 1º Turno Diurno) </t>
  </si>
  <si>
    <t>Técnico em Refrigeração p/ Manutenção  (12 x 36 Horas - 2º Turno Noturno)</t>
  </si>
  <si>
    <t>Ajudante de Manutenção (12 x 36 Horas - 2º Turno Noturno)</t>
  </si>
  <si>
    <t xml:space="preserve">Limpeza e Higienização de Dutos SOB DEMANDA </t>
  </si>
  <si>
    <t>Revisão de Motor Elétrico Trifásico, 1,5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</si>
  <si>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2 CV,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</si>
  <si>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Revisão de Motor Elétrico Trifasico, 0,33 HP até 1,4 HP, com Montagem e Desmontagem, Enrolamento, Remoção e Execução de novo Enrolamento (se necessário), de eixo, recuperação de carcaça (se necessário), substituição de Componentes elétricos diversos, amortecedores anti-vibração, Acessórios Mecânicos, enfim tudo o que for Necessário para deixar os Referidos Equipamentos em Perfeitas Condições de uso e Funcionamento.</t>
  </si>
  <si>
    <t>MDF-Man-0003</t>
  </si>
  <si>
    <t>MDF-Man-0004</t>
  </si>
  <si>
    <t>Engenheiro Mecânico (01 Profissional)</t>
  </si>
  <si>
    <r>
      <t>ENC. SOCIAIS
EXPEDIENTE MENSALISTA SEMANAL 44,00 HORAS</t>
    </r>
    <r>
      <rPr>
        <b/>
        <vertAlign val="superscript"/>
        <sz val="9"/>
        <color theme="1"/>
        <rFont val="Calibri"/>
        <family val="2"/>
        <scheme val="minor"/>
      </rPr>
      <t>5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</si>
  <si>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00034780 ¹ </t>
  </si>
  <si>
    <r>
      <t>TOTAL  ENC. SOCIAIS MENSALISTA 
EXPEDIENTE SEMANAL 44,00 HORAS</t>
    </r>
    <r>
      <rPr>
        <b/>
        <vertAlign val="superscript"/>
        <sz val="9"/>
        <color theme="1"/>
        <rFont val="Calibri"/>
        <family val="2"/>
        <scheme val="minor"/>
      </rPr>
      <t>5</t>
    </r>
  </si>
  <si>
    <r>
      <t>PREÇO UNIT. INC. ENCARGOS SOCIAIS- MENSALISTA 
EXPEDIENTE SEMANAL 44,00 HORAS</t>
    </r>
    <r>
      <rPr>
        <b/>
        <vertAlign val="superscript"/>
        <sz val="9"/>
        <color theme="1"/>
        <rFont val="Calibri"/>
        <family val="2"/>
        <scheme val="minor"/>
      </rPr>
      <t>5</t>
    </r>
  </si>
  <si>
    <t>b) Os Preços Unitários constantes das Tabelas de Custos Analítico de Manutenção e Reformas TCMR_DF da Editora PINI e SINAPI - CEF, SICRO2 E Concorrência 001/2016 - TCDF foram recalculados aplicando-se as taxas de Encargos Sociais, incluindo Adicionais Noturnos e Horas Extras, bem como Encargos Complementares por cargo/função extraidos de Planilha Específica SINAPI-CEF;</t>
  </si>
  <si>
    <r>
      <t>PRELIMINARES (MANUTENÇÃO PREVENTIVA / CORRETIVA</t>
    </r>
    <r>
      <rPr>
        <b/>
        <i/>
        <sz val="12"/>
        <rFont val="Arial"/>
        <family val="2"/>
      </rPr>
      <t>):</t>
    </r>
  </si>
  <si>
    <t>Mecânico de Refrigeração (08:00 às 18:00)</t>
  </si>
  <si>
    <t>Técnico em Refrigeração - 1º Turno Diurno 
(12 x 36 Horas)</t>
  </si>
  <si>
    <t>Técnico em Refrigeração - 2º Turno Noturno  (12 x 36 Horas)</t>
  </si>
  <si>
    <t>CÓDIGOS- ENC.
COMPLEMENTARES SINAPI</t>
  </si>
  <si>
    <t>Auxiliar Técnico - 1º Turno Diurno - 
(12 x 36 Horas)</t>
  </si>
  <si>
    <t>Auxiliar Técnico - 2º Turno Noturno - (12 x 36 Horas)</t>
  </si>
  <si>
    <t>SINTEC-DF
CCT 2016/2018</t>
  </si>
  <si>
    <t>SINTEC-DF
ACT 2016/2018</t>
  </si>
  <si>
    <t>Auxiliar Técnico (08:00 às 18:00)</t>
  </si>
  <si>
    <t>SINTEC-DF ACT 2016 / 2018</t>
  </si>
  <si>
    <t>Auxiliar Técnico  (Mensalista - 44 Hora Semanais)</t>
  </si>
  <si>
    <t>Auxiliar Técnico (12 x 36 Horas - 2º Turno Noturno)</t>
  </si>
  <si>
    <t xml:space="preserve">Auxiliar Tècnico (12 x 36 -Horas - 1º Turno Diurno) </t>
  </si>
  <si>
    <t xml:space="preserve">NOTA:                                                                                                                                                                                                                                                                                                                                                          Data-base dos itens de Preços Unitários de Serviços, referente às CPUs de Codificações MDF - Man - 0001 / 16 à MDF - Man - 0125 / 16: Dezembro / 2016.                                                                                                                                                                 </t>
  </si>
  <si>
    <t>NOTA:
Valor mensal estimado a ser ressarcido ao METRÔ-DF pela futura Contratada R$1488,40</t>
  </si>
  <si>
    <t>Data-Base: Jan./17</t>
  </si>
  <si>
    <t xml:space="preserve">L|   CR - COEFICIENTE DE REPRESENTATIVIDADE </t>
  </si>
  <si>
    <t>90778   ENGENHEIRO CIVIL DE OBRA PLENO COM ENCARGOS COMPLEMENTARES                    H</t>
  </si>
  <si>
    <t xml:space="preserve">LC         88237 EPI (ENCARGOS COMPLEMENTARES)                                          </t>
  </si>
  <si>
    <t>H</t>
  </si>
  <si>
    <t>CR</t>
  </si>
  <si>
    <t xml:space="preserve">LI          2707 ENGENHEIRO CIVIL DE OBRA PLENO                                      </t>
  </si>
  <si>
    <t>LI         37372 EXAMES (ENCARGOS COMPLEMENTARES) *COLETADO CAIXA*                          H       C        1,0000000           0,18             0,18</t>
  </si>
  <si>
    <t>C</t>
  </si>
  <si>
    <t xml:space="preserve">LI         37373 SEGURO (ENCARGOS COMPLEMENTARES) *COLETADO CAIXA*         </t>
  </si>
  <si>
    <t xml:space="preserve">LI          2350 AUXILIAR DE ESCRITORIO                                                   </t>
  </si>
  <si>
    <t xml:space="preserve">LI         37370 ALIMENTACAO (ENCARGOS COMPLEMENTARES) *COLETADO CAIXA*                </t>
  </si>
  <si>
    <t xml:space="preserve">LI         37371 TRANSPORTE (ENCARGOS COMPLEMENTARES) *COLETADO CAIXA*                   </t>
  </si>
  <si>
    <t xml:space="preserve">LI         37372 EXAMES (ENCARGOS COMPLEMENTARES) *COLETADO CAIXA*                </t>
  </si>
  <si>
    <t>LI         37373 SEGURO (ENCARGOS COMPLEMENTARES) *COLETADO CAIXA*                          H       C        1,0000000           0,04             0,04</t>
  </si>
  <si>
    <t>%</t>
  </si>
  <si>
    <t>88264   ELETRICISTA COM ENCARGOS COMPLEMENTARES                                       H</t>
  </si>
  <si>
    <t xml:space="preserve">LC         88236 FERRAMENTAS (ENCARGOS COMPLEMENTARES)              </t>
  </si>
  <si>
    <t xml:space="preserve">LC         88237 EPI (ENCARGOS COMPLEMENTARES)                                            </t>
  </si>
  <si>
    <t xml:space="preserve">LI          2436 ELETRICISTA                                                         </t>
  </si>
  <si>
    <t xml:space="preserve">LI         37370 ALIMENTACAO (ENCARGOS COMPLEMENTARES) *COLETADO CAIXA*                 </t>
  </si>
  <si>
    <t xml:space="preserve">LI         37371 TRANSPORTE (ENCARGOS COMPLEMENTARES) *COLETADO CAIXA*                      </t>
  </si>
  <si>
    <t xml:space="preserve">LI         37372 EXAMES (ENCARGOS COMPLEMENTARES) *COLETADO CAIXA*                          </t>
  </si>
  <si>
    <t xml:space="preserve">LI         37373 SEGURO (ENCARGOS COMPLEMENTARES) *COLETADO CAIXA*                         </t>
  </si>
  <si>
    <t xml:space="preserve"> 88275   MECÃNICO DE REFRIGERAÇÃO (ADAPTADO)</t>
  </si>
  <si>
    <t xml:space="preserve">LC         88236 FERRAMENTAS (ENCARGOS COMPLEMENTARES)                                    </t>
  </si>
  <si>
    <t xml:space="preserve">LC         88237 EPI (ENCARGOS COMPLEMENTARES)                                         </t>
  </si>
  <si>
    <t xml:space="preserve">LI          4058 MECANICO DE REFRIGERAÇÃO (ADAPTADO)                    </t>
  </si>
  <si>
    <t xml:space="preserve">LI         37370 ALIMENTACAO (ENCARGOS COMPLEMENTARES) *COLETADO CAIXA*     </t>
  </si>
  <si>
    <t xml:space="preserve">LI         37371 TRANSPORTE (ENCARGOS COMPLEMENTARES) *COLETADO CAIXA*         </t>
  </si>
  <si>
    <t xml:space="preserve">LI         37372 EXAMES (ENCARGOS COMPLEMENTARES) *COLETADO CAIXA*         </t>
  </si>
  <si>
    <t>XCÓDIGO          |D E S C R I Ç Ã O                                                             |UNIDADE|ORIG. |COEFICIENTE|PREÇO UNIT. |CUSTO TOTAL</t>
  </si>
  <si>
    <t>X                                                                                                       |PREÇO</t>
  </si>
  <si>
    <t>LVÍNCULO    : ENCARGOS COMPLEMENTARES REFERENCIAL</t>
  </si>
  <si>
    <t xml:space="preserve">LI         37373 SEGURO (ENCARGOS COMPLEMENTARES) *COLETADO CAIXA*            </t>
  </si>
  <si>
    <t xml:space="preserve">  88241   AJUDANTE DE OPERAÇÃO EM GERAL COM ENCARGOS COMPLEMENTARES                     H</t>
  </si>
  <si>
    <t xml:space="preserve">LC         88236 FERRAMENTAS (ENCARGOS COMPLEMENTARES)                                     </t>
  </si>
  <si>
    <t xml:space="preserve">LI           248 AJUDANTE DE OPERACAO EM GERAL                                             </t>
  </si>
  <si>
    <t xml:space="preserve">LI         37370 ALIMENTACAO (ENCARGOS COMPLEMENTARES) *COLETADO CAIXA*                   </t>
  </si>
  <si>
    <t xml:space="preserve">LI         37371 TRANSPORTE (ENCARGOS COMPLEMENTARES) *COLETADO CAIXA*      </t>
  </si>
  <si>
    <t xml:space="preserve">LI         37372 EXAMES (ENCARGOS COMPLEMENTARES) *COLETADO CAIXA*                        </t>
  </si>
  <si>
    <t xml:space="preserve">LI         37373 SEGURO (ENCARGOS COMPLEMENTARES) *COLETADO CAIXA*               </t>
  </si>
  <si>
    <t>L        88266   TÉCNICO EM REFRIGERAÇÃO (ADAPTADO)                                  H</t>
  </si>
  <si>
    <t xml:space="preserve">LC         88236 FERRAMENTAS (ENCARGOS COMPLEMENTARES)                              </t>
  </si>
  <si>
    <t xml:space="preserve">LC         88237 EPI (ENCARGOS COMPLEMENTARES)                                  </t>
  </si>
  <si>
    <t xml:space="preserve">LI          2438 ELETROTECNICO                                                        </t>
  </si>
  <si>
    <t xml:space="preserve">LI         37370 ALIMENTACAO (ENCARGOS COMPLEMENTARES) *COLETADO CAIXA*               </t>
  </si>
  <si>
    <t xml:space="preserve">LI         37371 TRANSPORTE (ENCARGOS COMPLEMENTARES) *COLETADO CAIXA*               </t>
  </si>
  <si>
    <t xml:space="preserve">LI         37372 EXAMES (ENCARGOS COMPLEMENTARES) *COLETADO CAIXA*                       </t>
  </si>
  <si>
    <t xml:space="preserve">LI         37373 SEGURO (ENCARGOS COMPLEMENTARES) *COLETADO CAIXA*              </t>
  </si>
  <si>
    <t xml:space="preserve"> 90772   AUXILIAR ADMINISTRATIVO COM ENCARGOS COMPLEMENTARES                            H</t>
  </si>
  <si>
    <t>DATA BASE 
P. UNIT.: JANEIRO / 2017</t>
  </si>
  <si>
    <t>MDF-Man-0001/17</t>
  </si>
  <si>
    <t>MDF-Man-0002/17</t>
  </si>
  <si>
    <t>MDF-Man-0003/17</t>
  </si>
  <si>
    <t>MDF-Man-0004/17</t>
  </si>
  <si>
    <t>MDF-Man-0005/17</t>
  </si>
  <si>
    <t>MDF-Man-0006/17</t>
  </si>
  <si>
    <t>MDF-Man-0007/17</t>
  </si>
  <si>
    <t>MDF-Man-0008/17</t>
  </si>
  <si>
    <t>MDF-Man-0009/17</t>
  </si>
  <si>
    <t>MDF-Man-0010/17</t>
  </si>
  <si>
    <t>MDF-Man-0011/17</t>
  </si>
  <si>
    <t>MDF-Man-0012/17</t>
  </si>
  <si>
    <t>MDF-Man-0013/17</t>
  </si>
  <si>
    <t>MDF-Man-0014/17</t>
  </si>
  <si>
    <t>MDF-Man-0015/17</t>
  </si>
  <si>
    <t>MDF-Man-0016/17</t>
  </si>
  <si>
    <t>MDF-Man-0017/17</t>
  </si>
  <si>
    <t>MDF-Man-0018/17</t>
  </si>
  <si>
    <t>MDF-Man-0019/17</t>
  </si>
  <si>
    <t>MDF-Man-0020/17</t>
  </si>
  <si>
    <t>MDF-Man-0021/17</t>
  </si>
  <si>
    <t>MDF-Man-0022/17</t>
  </si>
  <si>
    <t>MDF-Man-0023/17</t>
  </si>
  <si>
    <t>MDF-Man-0024/17</t>
  </si>
  <si>
    <t>MDF-Man-0025/17</t>
  </si>
  <si>
    <t>MDF-Man-0026/17</t>
  </si>
  <si>
    <t>MDF-Man-0027/17</t>
  </si>
  <si>
    <t>MDF-Man-0028/17</t>
  </si>
  <si>
    <t>MDF-Man-0029/17</t>
  </si>
  <si>
    <t>MDF-Man-0030/17</t>
  </si>
  <si>
    <t>MDF-Man-0031/17</t>
  </si>
  <si>
    <t>MDF-Man-0032/17</t>
  </si>
  <si>
    <t>MDF-Man-0033/17</t>
  </si>
  <si>
    <t>MDF-Man-0034/17</t>
  </si>
  <si>
    <t>MDF-Man-0035/17</t>
  </si>
  <si>
    <t>MDF-Man-0036/17</t>
  </si>
  <si>
    <t>MDF-Man-0037/17</t>
  </si>
  <si>
    <t>MDF-Man-0038/17</t>
  </si>
  <si>
    <t>MDF-Man-0039/17</t>
  </si>
  <si>
    <t>MDF-Man-0040/17</t>
  </si>
  <si>
    <t>MDF-Man-0041/17</t>
  </si>
  <si>
    <t>MDF-Man-0042/17</t>
  </si>
  <si>
    <t>MDF-Man-0043/17</t>
  </si>
  <si>
    <t>MDF-Man-0044/17</t>
  </si>
  <si>
    <t>MDF-Man-0045/17</t>
  </si>
  <si>
    <t>MDF-Man-0046/17</t>
  </si>
  <si>
    <t>MDF-Man-0047/17</t>
  </si>
  <si>
    <t>MDF-Man-0048/17</t>
  </si>
  <si>
    <t>MDF-Man-0049/17</t>
  </si>
  <si>
    <t>MDF-Man-0050/17</t>
  </si>
  <si>
    <t>MDF-Man-0051/17</t>
  </si>
  <si>
    <t>MDF-Man-0052/1</t>
  </si>
  <si>
    <t>MDF-Man-0053/17</t>
  </si>
  <si>
    <t>MDF-Man-0054/17</t>
  </si>
  <si>
    <t>MDF-Man-0055/17</t>
  </si>
  <si>
    <t>MDF-Man-0056/17</t>
  </si>
  <si>
    <t>MDF-Man-0057/17</t>
  </si>
  <si>
    <t>MDF-Man-0058/17</t>
  </si>
  <si>
    <t>MDF-Man-0059/17</t>
  </si>
  <si>
    <t>MDF-Man-0060/17</t>
  </si>
  <si>
    <t>MDF-Man-0061/17</t>
  </si>
  <si>
    <t>MDF-Man-0062/17</t>
  </si>
  <si>
    <t>MDF-Man-0063/17</t>
  </si>
  <si>
    <t>MDF-Man-0064/17</t>
  </si>
  <si>
    <t>MDF-Man-0065/17</t>
  </si>
  <si>
    <t>MDF-Man-0066/17</t>
  </si>
  <si>
    <t>MDF-Man-0067/17</t>
  </si>
  <si>
    <t>MDF-Man-0068/17</t>
  </si>
  <si>
    <t>MDF-Man-0069/17</t>
  </si>
  <si>
    <t>MDF-Man-0070/17</t>
  </si>
  <si>
    <t>MDF-Man-0071/17</t>
  </si>
  <si>
    <t>MDF-Man-0072/17</t>
  </si>
  <si>
    <t>MDF-Man-0073/17</t>
  </si>
  <si>
    <t>MDF-Man-0074/17</t>
  </si>
  <si>
    <t>MDF-Man-0075/17</t>
  </si>
  <si>
    <t>MDF-Man-0076/17</t>
  </si>
  <si>
    <t>MDF-Man-0077/17</t>
  </si>
  <si>
    <t>MDF-Man-0078/17</t>
  </si>
  <si>
    <t>MDF-Man-0079/17</t>
  </si>
  <si>
    <t>MDF-Man-0080/17</t>
  </si>
  <si>
    <t>MDF-Man-0081/17</t>
  </si>
  <si>
    <t>MDF-Man-0082/17</t>
  </si>
  <si>
    <t>MDF-Man-0083/17</t>
  </si>
  <si>
    <t>MDF-Man-0084/17</t>
  </si>
  <si>
    <t>MDF-Man-0085/17</t>
  </si>
  <si>
    <t>MDF-Man-0086/17</t>
  </si>
  <si>
    <t>MDF-Man-0087/17</t>
  </si>
  <si>
    <t>MDF-Man-0088/17</t>
  </si>
  <si>
    <t>MDF-Man-0089/17</t>
  </si>
  <si>
    <t>MDF-Man-0090/17</t>
  </si>
  <si>
    <t>MDF-Man-0091/17</t>
  </si>
  <si>
    <t>MDF-Man-0092/17</t>
  </si>
  <si>
    <t>MDF-Man-0093/17</t>
  </si>
  <si>
    <t>MDF-Man-0094/17</t>
  </si>
  <si>
    <t>MDF-Man-0095/17</t>
  </si>
  <si>
    <t>MDF-Man-0096/17</t>
  </si>
  <si>
    <t>MDF-Man-0097/17</t>
  </si>
  <si>
    <t>MDF-Man-0098/17</t>
  </si>
  <si>
    <t>MDF-Man-0099/17</t>
  </si>
  <si>
    <t>MDF-Man-0100/17</t>
  </si>
  <si>
    <t>MDF-Man-0101/17</t>
  </si>
  <si>
    <t>MDF-Man-0102/17</t>
  </si>
  <si>
    <t>MDF-Man-0103/17</t>
  </si>
  <si>
    <t>MDF-Man-0104/17</t>
  </si>
  <si>
    <t>MDF-Man-0105/17</t>
  </si>
  <si>
    <t>MDF-Man-0106/17</t>
  </si>
  <si>
    <t>MDF-Man-0107/17</t>
  </si>
  <si>
    <t>MDF-Man-0108/17</t>
  </si>
  <si>
    <t>MDF-Man-0109/17</t>
  </si>
  <si>
    <t>MDF-Man-0110/17</t>
  </si>
  <si>
    <t>MDF-Man-0111/17</t>
  </si>
  <si>
    <t>MDF-Man-0112/17</t>
  </si>
  <si>
    <t>MDF-Man-0113/17</t>
  </si>
  <si>
    <t>MDF-Man-0114/17</t>
  </si>
  <si>
    <t>MDF-Man-0115/17</t>
  </si>
  <si>
    <t>MDF-Man-0116/17</t>
  </si>
  <si>
    <t>MDF-Man-0117/17</t>
  </si>
  <si>
    <t>MDF-Man-0118/17</t>
  </si>
  <si>
    <t>MDF-Man-0119/17</t>
  </si>
  <si>
    <t>MDF-Man-0120/17</t>
  </si>
  <si>
    <t>MDF-Man-0121/17</t>
  </si>
  <si>
    <t>MDF-Man-0122/17</t>
  </si>
  <si>
    <t>MDF-Man-0123/17</t>
  </si>
  <si>
    <t>MDF-Man-0124/17</t>
  </si>
  <si>
    <t>MDF-Man-0125/17</t>
  </si>
  <si>
    <t xml:space="preserve"> ADICIONAL. DE INSALUBRIDADE (20,00% DE R$937,00)</t>
  </si>
  <si>
    <t>e) Os Preços de itens de Peças e Serviços, adiquiridos por meio de Cotação elaborados pelo GTE, tem como data base Janeiro de 2017.</t>
  </si>
  <si>
    <t>d) Caso sejam constatadas divergências de preços unitários, para eventuais itens de serviços de discriminações iguais, constantes das Planilhas do SINAPI, TCMR da Editora PINI, SICRO2, Concorrência 001/2016 - TCDF bem como, aqueles elaborados pelo Grupo de Trabalho Especial - GTE, Instituido pela I.S. Nº  431/ 2015 - PRE, (METRÔ-DF), todos com data-base: Janeiro / 2017, exceto os casos técnicamente justificados e aceitos pela Fiscalização da CONTRATANTE, os referidos serviços serão medidos pelos itens de menor valor;</t>
  </si>
  <si>
    <r>
      <rPr>
        <b/>
        <sz val="14"/>
        <rFont val="Arial"/>
        <family val="2"/>
      </rPr>
      <t>DATA-BASE PREÇOS</t>
    </r>
    <r>
      <rPr>
        <sz val="14"/>
        <rFont val="Arial"/>
        <family val="2"/>
      </rPr>
      <t>:        JNEIRO. / 2017</t>
    </r>
  </si>
  <si>
    <r>
      <t xml:space="preserve">PROPRIETÁRIO: </t>
    </r>
    <r>
      <rPr>
        <sz val="14"/>
        <rFont val="Arial"/>
        <family val="2"/>
      </rPr>
      <t xml:space="preserve">COMPANHIA DO METROPOLITANO DO DISTRITO FEDERAL - METRÔ / DF </t>
    </r>
  </si>
  <si>
    <r>
      <rPr>
        <b/>
        <sz val="14"/>
        <rFont val="Arial"/>
        <family val="2"/>
      </rPr>
      <t>SERVIÇOS</t>
    </r>
    <r>
      <rPr>
        <b/>
        <sz val="12"/>
        <rFont val="Arial"/>
        <family val="2"/>
      </rPr>
      <t xml:space="preserve">: </t>
    </r>
    <r>
      <rPr>
        <sz val="13"/>
        <rFont val="Arial"/>
        <family val="2"/>
      </rPr>
      <t>MANUTENÇÃO PREVENTIVA E CORRETIVA DO SISTEMA DE AR CONDICIONADO DO METRÔ-DF.</t>
    </r>
  </si>
  <si>
    <t xml:space="preserve">L|   C  - COLETADO                                                                                                          </t>
  </si>
  <si>
    <t>LEGENDA - ORIG. PREÇO:</t>
  </si>
  <si>
    <t>SINAPI: JANEIRO/2017.</t>
  </si>
  <si>
    <t xml:space="preserve">MAO DE OBRA                         :        </t>
  </si>
  <si>
    <t xml:space="preserve">TOTAL COMPOSIÇÃO                    :         </t>
  </si>
  <si>
    <t>UNIDADE</t>
  </si>
  <si>
    <t>ORIGEM DE PREÇO</t>
  </si>
  <si>
    <t>COEFICIENTE</t>
  </si>
  <si>
    <t>P. UNITÁTIO</t>
  </si>
  <si>
    <t>P. TOTAL</t>
  </si>
  <si>
    <t xml:space="preserve">MAO DE OBRA:        </t>
  </si>
  <si>
    <t xml:space="preserve">TOTAL COMPOSIÇÃO:       </t>
  </si>
  <si>
    <t>MATERIAL: (PERCENTUAL ADOTADO PARA ENCARGOS COMPLEMENTARES)</t>
  </si>
  <si>
    <t xml:space="preserve">MAO DE OBRA:          </t>
  </si>
  <si>
    <t xml:space="preserve">MAO DE OBRA :          </t>
  </si>
  <si>
    <t xml:space="preserve"> MAO DE OBRA:       </t>
  </si>
  <si>
    <t>TOTAL COMPOSIÇÃO : -  ORIGEM DE PREÇO: CR</t>
  </si>
  <si>
    <r>
      <t xml:space="preserve">01 - Cargos com salário base adaptado/recalculado, pelo GTE-MDF (Grupo de Trabalho Especial, METRÔ-DF), para cargo/função que não constam nos Sistemas SINIPI, PINI e SICRO2; 
02 - Os percentuais adotados para Encargos Complementares - </t>
    </r>
    <r>
      <rPr>
        <b/>
        <sz val="12"/>
        <color theme="1"/>
        <rFont val="Calibri"/>
        <family val="2"/>
        <scheme val="minor"/>
      </rPr>
      <t>GRUPO E</t>
    </r>
    <r>
      <rPr>
        <sz val="12"/>
        <color theme="1"/>
        <rFont val="Calibri"/>
        <family val="2"/>
        <scheme val="minor"/>
      </rPr>
      <t xml:space="preserve">, por Cargo / Função, extraidos de Planilha SINAPI - CEF;
03 - Encargos Sociais </t>
    </r>
    <r>
      <rPr>
        <b/>
        <sz val="12"/>
        <color theme="1"/>
        <rFont val="Calibri"/>
        <family val="2"/>
        <scheme val="minor"/>
      </rPr>
      <t>COM DESONERAÇÃO</t>
    </r>
    <r>
      <rPr>
        <sz val="12"/>
        <color theme="1"/>
        <rFont val="Calibri"/>
        <family val="2"/>
        <scheme val="minor"/>
      </rPr>
      <t xml:space="preserve">,calculados sobre as horas normais, com base Planilha SINAPI - CEF, com vigência  a partir de março / 2016: Horistas = </t>
    </r>
    <r>
      <rPr>
        <b/>
        <sz val="12"/>
        <color theme="1"/>
        <rFont val="Calibri"/>
        <family val="2"/>
        <scheme val="minor"/>
      </rPr>
      <t>85,20%</t>
    </r>
    <r>
      <rPr>
        <sz val="12"/>
        <color theme="1"/>
        <rFont val="Calibri"/>
        <family val="2"/>
        <scheme val="minor"/>
      </rPr>
      <t xml:space="preserve"> e Mensalistas = </t>
    </r>
    <r>
      <rPr>
        <b/>
        <sz val="12"/>
        <color theme="1"/>
        <rFont val="Calibri"/>
        <family val="2"/>
        <scheme val="minor"/>
      </rPr>
      <t>49,52%;</t>
    </r>
    <r>
      <rPr>
        <sz val="12"/>
        <color theme="1"/>
        <rFont val="Calibri"/>
        <family val="2"/>
        <scheme val="minor"/>
      </rPr>
      <t xml:space="preserve">
04 - Adicional de Insalubridade (Súmula Vinculante nº 04-STF)= 20% do Salário mínimo vigente em 2017 (R$ 937,00 / Mês) = R$ 187,40 / Mês ou R$ 0,85 / hora;
05 - Para o cargo de Engenheiro Mêcanica foi adotado o expediente de 05,00 (cinco) horas Semanais.</t>
    </r>
  </si>
  <si>
    <r>
      <t>Salário / h -Data-Base: JAN./17, = R$ 5,11 / h (Sem Encargos Sociais); + Encargos Sociais Totais de</t>
    </r>
    <r>
      <rPr>
        <b/>
        <sz val="9"/>
        <rFont val="Arial"/>
        <family val="2"/>
      </rPr>
      <t xml:space="preserve"> 70,23%</t>
    </r>
    <r>
      <rPr>
        <sz val="9"/>
        <rFont val="Arial"/>
        <family val="2"/>
      </rPr>
      <t xml:space="preserve"> p/ mensalista (49,52 Socias + 20,71% Complementares) (Vide cálculo Enc. Sociais Ponderados + Complementares, cópia anexa)=</t>
    </r>
    <r>
      <rPr>
        <b/>
        <sz val="9"/>
        <rFont val="Arial"/>
        <family val="2"/>
      </rPr>
      <t xml:space="preserve"> R$ 8,70/h.</t>
    </r>
    <r>
      <rPr>
        <sz val="9"/>
        <rFont val="Arial"/>
        <family val="2"/>
      </rPr>
      <t xml:space="preserve">
Salário mensal Auxliar Administrativo (220,00 h / mês)
</t>
    </r>
  </si>
  <si>
    <r>
      <t>Salário / h - SINAPI - 00002350, incluindo Encargos Sociais de 85,20% = R$, / h; R$ 79,58
Salário/h excluindo Encargos Sociais de 85,20% = R$ 42,97 / h;
Salário / h incluindo Adicional de Insalubridade (20,00% de R$ 937,00) / 220] = R$ 0,852 / h  + Encargos Sociais Totais de</t>
    </r>
    <r>
      <rPr>
        <b/>
        <sz val="9"/>
        <rFont val="Arial"/>
        <family val="2"/>
      </rPr>
      <t xml:space="preserve"> 117,25%</t>
    </r>
    <r>
      <rPr>
        <sz val="9"/>
        <rFont val="Arial"/>
        <family val="2"/>
      </rPr>
      <t xml:space="preserve"> p/ mensalista (116,68% Socias Poderados + 0,57% Complementares) (Vide cálculo Enc. Sociais Ponderados + Complementares (SINAPI), cópia anexa)= R$ </t>
    </r>
    <r>
      <rPr>
        <b/>
        <sz val="9"/>
        <rFont val="Arial"/>
        <family val="2"/>
      </rPr>
      <t>95,20/h.</t>
    </r>
    <r>
      <rPr>
        <sz val="9"/>
        <rFont val="Arial"/>
        <family val="2"/>
      </rPr>
      <t xml:space="preserve">
</t>
    </r>
  </si>
  <si>
    <r>
      <t>Salário / h - SINAPI - 00002350, incluindo Encargos Sociais de 85,20% = R$12,77 / h;
Salário/h excluindo Encargos Sociais de 85,20% = R$ 5,110 / h;
Salário / h incluindo Adicional de Insalubridade [(20,00% de R$ 937,00) / 220] = R$ 0,80 / h  + Encargos Sociais Totais de</t>
    </r>
    <r>
      <rPr>
        <b/>
        <sz val="9"/>
        <rFont val="Arial"/>
        <family val="2"/>
      </rPr>
      <t xml:space="preserve"> 70,23%</t>
    </r>
    <r>
      <rPr>
        <sz val="9"/>
        <rFont val="Arial"/>
        <family val="2"/>
      </rPr>
      <t xml:space="preserve"> p/ mensalista (49,52 Socias + 20,71% Complementares) (Vide cálculo Enc. Sociais Ponderados + Complementares, cópia anexa)= </t>
    </r>
    <r>
      <rPr>
        <b/>
        <sz val="9"/>
        <rFont val="Arial"/>
        <family val="2"/>
      </rPr>
      <t>R$ 8,70</t>
    </r>
    <r>
      <rPr>
        <sz val="9"/>
        <rFont val="Arial"/>
        <family val="2"/>
      </rPr>
      <t xml:space="preserve">
Salário mensal Auxliar Administrativo (220,00 h / mês)</t>
    </r>
  </si>
  <si>
    <t xml:space="preserve"> SINAPI - 00002436</t>
  </si>
  <si>
    <r>
      <t>Salário / h - SINAPI - 00002436, incluindo Encargos Sociais de 85,20% = R$12,35 / h;
Salário / h, excluindo Encargos Sociais de 85,20% = R$ 6,67/ h; 
Salário / h, incluindo Encargos Sociais de 75,61</t>
    </r>
    <r>
      <rPr>
        <b/>
        <sz val="9"/>
        <rFont val="Arial"/>
        <family val="2"/>
      </rPr>
      <t>%</t>
    </r>
    <r>
      <rPr>
        <sz val="9"/>
        <rFont val="Arial"/>
        <family val="2"/>
      </rPr>
      <t xml:space="preserve"> p/ mensalista (Vide cálculo Enc. Sociais Mensalista Expediente Semanal de 44,00 Horas +  Enc. Complementares, cópia anexa) = R$13,20 / h.
Salário mensal Eletricista para Manutenção Preventiva (220,00 h / mês)</t>
    </r>
  </si>
  <si>
    <r>
      <t>Salário / h - SINTEC-DF ACT 2016/2018 = R$ 5,11 / h; Salário / h, incluindo Encargos Sociais de 80,08</t>
    </r>
    <r>
      <rPr>
        <b/>
        <sz val="9"/>
        <rFont val="Arial"/>
        <family val="2"/>
      </rPr>
      <t>%</t>
    </r>
    <r>
      <rPr>
        <sz val="9"/>
        <rFont val="Arial"/>
        <family val="2"/>
      </rPr>
      <t xml:space="preserve"> p/ mensalista (Vide cálculo Encargos Sociais Mensalista Expediente Semanal de 44,00 Horas + Encargos Complementares, cópia anexa) = R$ 10,85 / h.
Salário Mensal Ajudante  de Manutenção Preventiva (220,00 h / mês)</t>
    </r>
  </si>
  <si>
    <r>
      <t>Salário Base/ h sem Encargos Sociais = R$ 10,65 / h (Vide SINTEC-DF ACT 2016 / 2017); Salário / h incluindo Encargos Sociais Totais de</t>
    </r>
    <r>
      <rPr>
        <b/>
        <sz val="9"/>
        <rFont val="Arial"/>
        <family val="2"/>
      </rPr>
      <t xml:space="preserve"> 77,93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%</t>
    </r>
    <r>
      <rPr>
        <sz val="9"/>
        <rFont val="Arial"/>
        <family val="2"/>
      </rPr>
      <t xml:space="preserve"> p/ mensalista, sendo 59,97% Encargos Sociais (12 x 36 horas 1º Turno) + 17,96% Complementares (Vide cálculo Enc. Sociais Ponderados + Complementares, cópia anexa) = R$ 20,46 / h.
Salário mensal Técnico em Refrigeração </t>
    </r>
    <r>
      <rPr>
        <b/>
        <sz val="9"/>
        <rFont val="Arial"/>
        <family val="2"/>
      </rPr>
      <t>(220,00 h / mês)</t>
    </r>
  </si>
  <si>
    <t xml:space="preserve">Auxiliar Técnico (12 x 36 -Horas -  Diurno) </t>
  </si>
  <si>
    <r>
      <t xml:space="preserve">Salário / h - SINTEC - DF ACT 2016 / 2017, = R$ 5,11/ h; Salário / h, incluindo Encargos Sociais de </t>
    </r>
    <r>
      <rPr>
        <b/>
        <sz val="9"/>
        <rFont val="Arial"/>
        <family val="2"/>
      </rPr>
      <t>92,53%</t>
    </r>
    <r>
      <rPr>
        <sz val="9"/>
        <rFont val="Arial"/>
        <family val="2"/>
      </rPr>
      <t xml:space="preserve"> p/ mensalista (Vide cálculo Encargos Sociais 1º Turno / Diurno= 59,97% + Encargos Complementares de 32,56%, cópia anexa) = </t>
    </r>
    <r>
      <rPr>
        <b/>
        <sz val="9"/>
        <rFont val="Arial"/>
        <family val="2"/>
      </rPr>
      <t>R$ 11,48 / h</t>
    </r>
    <r>
      <rPr>
        <sz val="9"/>
        <rFont val="Arial"/>
        <family val="2"/>
      </rPr>
      <t>.
Salário Mensal Ajudante  de Manutenção Preventiva (220,00 h / mês)</t>
    </r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</si>
  <si>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
Encargos Sociais para Mensalista 1º Turno / Diurno + Enc. Complementares= 32,56% + 59,97% = 92,53</t>
    </r>
    <r>
      <rPr>
        <b/>
        <sz val="9"/>
        <rFont val="Arial"/>
        <family val="2"/>
      </rPr>
      <t xml:space="preserve"> (Vide demonstração, cópia anexa</t>
    </r>
    <r>
      <rPr>
        <sz val="9"/>
        <rFont val="Arial"/>
        <family val="2"/>
      </rPr>
      <t>).</t>
    </r>
  </si>
  <si>
    <r>
      <t xml:space="preserve">Salário / h sem Encargos Sociais= R$10,65 / h para mensalista, sendo 106,49% de Encargos Socias para mensalistas 12 x 36 Horas + 17,96% Complementares (Vide cálculo Enc. Sociais Ponderados + Complementares, cópia anexa) = </t>
    </r>
    <r>
      <rPr>
        <b/>
        <sz val="9"/>
        <rFont val="Arial"/>
        <family val="2"/>
      </rPr>
      <t>R$ 25,80 / h.</t>
    </r>
    <r>
      <rPr>
        <sz val="9"/>
        <rFont val="Arial"/>
        <family val="2"/>
      </rPr>
      <t xml:space="preserve">
</t>
    </r>
    <r>
      <rPr>
        <sz val="9"/>
        <rFont val="Arial"/>
        <family val="2"/>
      </rPr>
      <t xml:space="preserve">
</t>
    </r>
  </si>
  <si>
    <t>Auxiliar Técnico (12 x 36 Horas - Noturno)</t>
  </si>
  <si>
    <r>
      <t xml:space="preserve">Salário / h - SINTEC-DF ACT 2016 / 2017= R$ 5,11 / h; Salário / h, incluindo Encargos Sociais de </t>
    </r>
    <r>
      <rPr>
        <b/>
        <sz val="9"/>
        <rFont val="Arial"/>
        <family val="2"/>
      </rPr>
      <t xml:space="preserve">139,04% </t>
    </r>
    <r>
      <rPr>
        <sz val="9"/>
        <rFont val="Arial"/>
        <family val="2"/>
      </rPr>
      <t xml:space="preserve">p/ mensalista sendo 106,49% de Encargos Sociais para Mensalistas 12 x 36 Horas + 32,56% de Encargos Complementares (Vide cálculo Encargos Sociais  + Encargos Complementares, cópia anexa) = </t>
    </r>
    <r>
      <rPr>
        <b/>
        <sz val="9"/>
        <rFont val="Arial"/>
        <family val="2"/>
      </rPr>
      <t>R$ 14,25 / h.</t>
    </r>
    <r>
      <rPr>
        <sz val="9"/>
        <rFont val="Arial"/>
        <family val="2"/>
      </rPr>
      <t xml:space="preserve">
Salário Mensal Ajudante  de Manutenção Preventiva (220,00 h / mês)</t>
    </r>
  </si>
</sst>
</file>

<file path=xl/styles.xml><?xml version="1.0" encoding="utf-8"?>
<styleSheet xmlns="http://schemas.openxmlformats.org/spreadsheetml/2006/main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.0000000"/>
    <numFmt numFmtId="166" formatCode="0.0000"/>
    <numFmt numFmtId="167" formatCode="&quot;R$ &quot;#,##0.00"/>
    <numFmt numFmtId="168" formatCode="&quot;R$&quot;\ #,##0.00"/>
    <numFmt numFmtId="169" formatCode="00000"/>
    <numFmt numFmtId="170" formatCode="0.0%"/>
    <numFmt numFmtId="171" formatCode="_-[$R$-416]\ * #,##0.00_-;\-[$R$-416]\ * #,##0.00_-;_-[$R$-416]\ * &quot;-&quot;??_-;_-@_-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u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rgb="FFFF0000"/>
      <name val="Arial"/>
      <family val="2"/>
    </font>
    <font>
      <b/>
      <sz val="20"/>
      <name val="Calibri"/>
      <family val="2"/>
      <scheme val="minor"/>
    </font>
    <font>
      <b/>
      <sz val="7"/>
      <name val="Calibri"/>
      <family val="2"/>
      <scheme val="minor"/>
    </font>
    <font>
      <b/>
      <sz val="16"/>
      <name val="Calibri"/>
      <family val="2"/>
      <scheme val="minor"/>
    </font>
    <font>
      <sz val="8"/>
      <name val="Arial"/>
      <family val="2"/>
    </font>
    <font>
      <b/>
      <sz val="18"/>
      <color rgb="FF00008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sz val="9"/>
      <color rgb="FF00B0F0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sz val="12"/>
      <name val="Calibri"/>
      <family val="2"/>
      <scheme val="minor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2"/>
      <name val="Times New Roman"/>
      <family val="1"/>
    </font>
    <font>
      <sz val="13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/>
      <top style="thin">
        <color rgb="FF7F7F7F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7F7F7F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medium">
        <color indexed="64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 style="hair">
        <color rgb="FF7F7F7F"/>
      </right>
      <top style="hair">
        <color rgb="FF7F7F7F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rgb="FF7F7F7F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rgb="FF7F7F7F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rgb="FF7F7F7F"/>
      </bottom>
      <diagonal/>
    </border>
    <border>
      <left/>
      <right/>
      <top style="hair">
        <color rgb="FF7F7F7F"/>
      </top>
      <bottom style="hair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2" borderId="1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4" borderId="28" applyNumberFormat="0" applyAlignment="0" applyProtection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935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2" fontId="0" fillId="0" borderId="0" xfId="0" applyNumberFormat="1"/>
    <xf numFmtId="0" fontId="17" fillId="4" borderId="28" xfId="6" applyFont="1" applyAlignment="1">
      <alignment horizontal="center"/>
    </xf>
    <xf numFmtId="0" fontId="8" fillId="0" borderId="0" xfId="0" applyNumberFormat="1" applyFont="1" applyBorder="1" applyAlignment="1">
      <alignment horizontal="center" vertical="center"/>
    </xf>
    <xf numFmtId="49" fontId="13" fillId="3" borderId="0" xfId="0" applyNumberFormat="1" applyFont="1" applyFill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9" fontId="2" fillId="3" borderId="0" xfId="1" quotePrefix="1" applyNumberFormat="1" applyFont="1" applyFill="1" applyBorder="1" applyAlignment="1">
      <alignment horizontal="center" vertical="center"/>
    </xf>
    <xf numFmtId="4" fontId="2" fillId="0" borderId="8" xfId="1" applyNumberFormat="1" applyFont="1" applyFill="1" applyBorder="1" applyAlignment="1">
      <alignment horizontal="center" vertical="center"/>
    </xf>
    <xf numFmtId="0" fontId="17" fillId="4" borderId="29" xfId="6" applyFont="1" applyBorder="1" applyAlignment="1">
      <alignment vertical="center"/>
    </xf>
    <xf numFmtId="0" fontId="5" fillId="0" borderId="0" xfId="0" applyFont="1" applyBorder="1" applyAlignment="1"/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horizontal="left" vertical="center"/>
    </xf>
    <xf numFmtId="4" fontId="3" fillId="3" borderId="0" xfId="1" applyNumberFormat="1" applyFont="1" applyFill="1" applyBorder="1" applyAlignment="1">
      <alignment horizontal="center" vertical="center"/>
    </xf>
    <xf numFmtId="0" fontId="15" fillId="8" borderId="34" xfId="1" applyFont="1" applyFill="1" applyBorder="1" applyAlignment="1">
      <alignment vertical="center"/>
    </xf>
    <xf numFmtId="0" fontId="17" fillId="4" borderId="34" xfId="6" applyFont="1" applyBorder="1" applyAlignment="1">
      <alignment vertical="center"/>
    </xf>
    <xf numFmtId="0" fontId="17" fillId="4" borderId="36" xfId="6" applyFont="1" applyBorder="1" applyAlignment="1">
      <alignment vertical="center"/>
    </xf>
    <xf numFmtId="49" fontId="12" fillId="3" borderId="0" xfId="0" applyNumberFormat="1" applyFont="1" applyFill="1" applyBorder="1" applyAlignment="1">
      <alignment horizontal="center" vertical="center"/>
    </xf>
    <xf numFmtId="49" fontId="2" fillId="3" borderId="0" xfId="1" applyNumberFormat="1" applyFont="1" applyFill="1" applyBorder="1" applyAlignment="1">
      <alignment horizontal="center" vertical="center"/>
    </xf>
    <xf numFmtId="49" fontId="2" fillId="3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3" borderId="32" xfId="1" applyNumberFormat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vertical="center"/>
    </xf>
    <xf numFmtId="4" fontId="2" fillId="0" borderId="39" xfId="1" applyNumberFormat="1" applyFont="1" applyFill="1" applyBorder="1" applyAlignment="1">
      <alignment horizontal="center" vertical="center"/>
    </xf>
    <xf numFmtId="4" fontId="2" fillId="0" borderId="7" xfId="1" applyNumberFormat="1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7" fillId="4" borderId="0" xfId="6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/>
    </xf>
    <xf numFmtId="4" fontId="2" fillId="3" borderId="0" xfId="1" applyNumberFormat="1" applyFont="1" applyFill="1" applyBorder="1" applyAlignment="1">
      <alignment horizontal="center" vertical="center"/>
    </xf>
    <xf numFmtId="0" fontId="12" fillId="3" borderId="42" xfId="0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vertical="center"/>
    </xf>
    <xf numFmtId="44" fontId="0" fillId="0" borderId="0" xfId="4" applyFont="1" applyAlignment="1">
      <alignment horizontal="center" vertical="center"/>
    </xf>
    <xf numFmtId="44" fontId="0" fillId="0" borderId="0" xfId="4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" fontId="3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0" fontId="0" fillId="0" borderId="0" xfId="0" applyFill="1"/>
    <xf numFmtId="0" fontId="12" fillId="0" borderId="5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9" fillId="0" borderId="6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4" fontId="2" fillId="0" borderId="32" xfId="1" applyNumberFormat="1" applyFont="1" applyFill="1" applyBorder="1" applyAlignment="1">
      <alignment horizontal="center" vertical="center"/>
    </xf>
    <xf numFmtId="0" fontId="22" fillId="4" borderId="37" xfId="6" applyFont="1" applyBorder="1" applyAlignment="1">
      <alignment vertical="center"/>
    </xf>
    <xf numFmtId="0" fontId="22" fillId="4" borderId="52" xfId="6" applyFont="1" applyBorder="1" applyAlignment="1">
      <alignment horizontal="center"/>
    </xf>
    <xf numFmtId="0" fontId="22" fillId="4" borderId="6" xfId="6" applyFont="1" applyBorder="1" applyAlignment="1">
      <alignment vertical="center"/>
    </xf>
    <xf numFmtId="0" fontId="22" fillId="4" borderId="8" xfId="6" applyFont="1" applyBorder="1" applyAlignment="1">
      <alignment horizontal="center"/>
    </xf>
    <xf numFmtId="0" fontId="22" fillId="4" borderId="44" xfId="6" applyFont="1" applyBorder="1" applyAlignment="1">
      <alignment vertical="center"/>
    </xf>
    <xf numFmtId="1" fontId="7" fillId="0" borderId="0" xfId="0" applyNumberFormat="1" applyFont="1" applyBorder="1" applyAlignment="1">
      <alignment horizontal="center" vertical="center"/>
    </xf>
    <xf numFmtId="0" fontId="0" fillId="9" borderId="0" xfId="0" applyFont="1" applyFill="1" applyAlignment="1"/>
    <xf numFmtId="0" fontId="25" fillId="0" borderId="0" xfId="0" applyFont="1"/>
    <xf numFmtId="0" fontId="21" fillId="0" borderId="0" xfId="0" applyFont="1" applyBorder="1" applyAlignment="1">
      <alignment vertical="center"/>
    </xf>
    <xf numFmtId="0" fontId="21" fillId="0" borderId="6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1" fillId="10" borderId="63" xfId="0" applyFont="1" applyFill="1" applyBorder="1" applyAlignment="1">
      <alignment vertical="center"/>
    </xf>
    <xf numFmtId="0" fontId="21" fillId="10" borderId="64" xfId="0" applyFont="1" applyFill="1" applyBorder="1" applyAlignment="1">
      <alignment vertical="center"/>
    </xf>
    <xf numFmtId="2" fontId="21" fillId="0" borderId="24" xfId="0" applyNumberFormat="1" applyFont="1" applyBorder="1" applyAlignment="1">
      <alignment horizontal="center" vertical="center"/>
    </xf>
    <xf numFmtId="2" fontId="26" fillId="0" borderId="24" xfId="0" applyNumberFormat="1" applyFont="1" applyBorder="1" applyAlignment="1">
      <alignment horizontal="center" vertical="center"/>
    </xf>
    <xf numFmtId="2" fontId="21" fillId="10" borderId="19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27" fillId="0" borderId="0" xfId="0" applyFont="1"/>
    <xf numFmtId="2" fontId="0" fillId="0" borderId="0" xfId="0" applyNumberFormat="1" applyAlignment="1">
      <alignment horizontal="center" vertical="center"/>
    </xf>
    <xf numFmtId="3" fontId="24" fillId="9" borderId="9" xfId="7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3" fontId="24" fillId="9" borderId="10" xfId="7" applyNumberFormat="1" applyFont="1" applyFill="1" applyBorder="1" applyAlignment="1">
      <alignment horizontal="center" vertical="center" wrapText="1"/>
    </xf>
    <xf numFmtId="3" fontId="24" fillId="9" borderId="11" xfId="7" applyNumberFormat="1" applyFont="1" applyFill="1" applyBorder="1" applyAlignment="1">
      <alignment horizontal="center" vertical="center" wrapText="1"/>
    </xf>
    <xf numFmtId="0" fontId="0" fillId="9" borderId="10" xfId="0" applyFont="1" applyFill="1" applyBorder="1" applyAlignment="1"/>
    <xf numFmtId="0" fontId="11" fillId="3" borderId="75" xfId="1" applyNumberFormat="1" applyFont="1" applyFill="1" applyBorder="1" applyAlignment="1">
      <alignment horizontal="center" vertical="center" wrapText="1"/>
    </xf>
    <xf numFmtId="0" fontId="0" fillId="9" borderId="11" xfId="0" applyFont="1" applyFill="1" applyBorder="1" applyAlignment="1"/>
    <xf numFmtId="0" fontId="33" fillId="6" borderId="0" xfId="0" applyFont="1" applyFill="1" applyBorder="1" applyAlignment="1">
      <alignment horizontal="left"/>
    </xf>
    <xf numFmtId="0" fontId="34" fillId="6" borderId="0" xfId="0" applyFont="1" applyFill="1" applyBorder="1" applyAlignment="1">
      <alignment horizontal="left" vertical="center"/>
    </xf>
    <xf numFmtId="0" fontId="34" fillId="6" borderId="0" xfId="0" applyFont="1" applyFill="1" applyBorder="1" applyAlignment="1">
      <alignment horizontal="center" vertical="center"/>
    </xf>
    <xf numFmtId="0" fontId="35" fillId="6" borderId="0" xfId="0" applyNumberFormat="1" applyFont="1" applyFill="1" applyBorder="1" applyAlignment="1">
      <alignment horizontal="center" vertical="center"/>
    </xf>
    <xf numFmtId="0" fontId="36" fillId="6" borderId="0" xfId="0" applyNumberFormat="1" applyFont="1" applyFill="1" applyBorder="1" applyAlignment="1">
      <alignment vertical="center"/>
    </xf>
    <xf numFmtId="0" fontId="37" fillId="6" borderId="0" xfId="0" applyFont="1" applyFill="1" applyBorder="1" applyAlignment="1">
      <alignment horizontal="center" vertical="center" wrapText="1"/>
    </xf>
    <xf numFmtId="0" fontId="36" fillId="6" borderId="0" xfId="6" applyFont="1" applyFill="1" applyBorder="1" applyAlignment="1">
      <alignment horizontal="center"/>
    </xf>
    <xf numFmtId="4" fontId="20" fillId="6" borderId="0" xfId="1" applyNumberFormat="1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center" vertical="center"/>
    </xf>
    <xf numFmtId="44" fontId="32" fillId="6" borderId="0" xfId="4" applyFont="1" applyFill="1" applyAlignment="1">
      <alignment horizontal="center" vertical="center"/>
    </xf>
    <xf numFmtId="44" fontId="32" fillId="6" borderId="0" xfId="4" applyFont="1" applyFill="1" applyBorder="1" applyAlignment="1">
      <alignment horizontal="center" vertical="center"/>
    </xf>
    <xf numFmtId="44" fontId="32" fillId="6" borderId="0" xfId="0" applyNumberFormat="1" applyFont="1" applyFill="1" applyBorder="1" applyAlignment="1">
      <alignment horizontal="center" vertical="center"/>
    </xf>
    <xf numFmtId="0" fontId="40" fillId="3" borderId="0" xfId="0" applyFont="1" applyFill="1" applyBorder="1" applyAlignment="1">
      <alignment horizontal="left" vertical="center"/>
    </xf>
    <xf numFmtId="0" fontId="11" fillId="3" borderId="0" xfId="1" applyNumberFormat="1" applyFont="1" applyFill="1" applyBorder="1" applyAlignment="1">
      <alignment horizontal="center" vertical="center" wrapText="1"/>
    </xf>
    <xf numFmtId="0" fontId="12" fillId="3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22" fillId="4" borderId="0" xfId="6" applyFont="1" applyBorder="1" applyAlignment="1">
      <alignment vertical="center"/>
    </xf>
    <xf numFmtId="0" fontId="2" fillId="3" borderId="0" xfId="1" applyNumberFormat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1" fillId="0" borderId="61" xfId="0" applyFont="1" applyFill="1" applyBorder="1" applyAlignment="1">
      <alignment horizontal="center" vertical="center"/>
    </xf>
    <xf numFmtId="0" fontId="21" fillId="0" borderId="74" xfId="0" applyFont="1" applyFill="1" applyBorder="1" applyAlignment="1">
      <alignment horizontal="center" vertical="center"/>
    </xf>
    <xf numFmtId="4" fontId="38" fillId="3" borderId="0" xfId="0" applyNumberFormat="1" applyFont="1" applyFill="1" applyBorder="1" applyAlignment="1">
      <alignment horizontal="center" vertical="center"/>
    </xf>
    <xf numFmtId="4" fontId="0" fillId="3" borderId="0" xfId="0" applyNumberFormat="1" applyFill="1" applyBorder="1" applyAlignment="1">
      <alignment horizontal="center" vertical="center"/>
    </xf>
    <xf numFmtId="4" fontId="18" fillId="3" borderId="0" xfId="0" applyNumberFormat="1" applyFont="1" applyFill="1" applyBorder="1" applyAlignment="1">
      <alignment horizontal="center" vertical="center"/>
    </xf>
    <xf numFmtId="4" fontId="39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0" fontId="18" fillId="3" borderId="0" xfId="5" applyNumberFormat="1" applyFont="1" applyFill="1" applyBorder="1" applyAlignment="1">
      <alignment horizontal="center" vertical="center"/>
    </xf>
    <xf numFmtId="10" fontId="39" fillId="3" borderId="0" xfId="5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4" fontId="0" fillId="3" borderId="0" xfId="4" applyFont="1" applyFill="1" applyAlignment="1">
      <alignment horizontal="center" vertical="center"/>
    </xf>
    <xf numFmtId="44" fontId="32" fillId="3" borderId="0" xfId="4" applyFont="1" applyFill="1" applyAlignment="1">
      <alignment horizontal="center" vertical="center"/>
    </xf>
    <xf numFmtId="4" fontId="2" fillId="3" borderId="40" xfId="1" applyNumberFormat="1" applyFont="1" applyFill="1" applyBorder="1" applyAlignment="1">
      <alignment horizontal="center" vertical="center"/>
    </xf>
    <xf numFmtId="44" fontId="0" fillId="3" borderId="0" xfId="4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0" xfId="0"/>
    <xf numFmtId="0" fontId="43" fillId="0" borderId="20" xfId="0" applyFont="1" applyBorder="1" applyAlignment="1"/>
    <xf numFmtId="0" fontId="43" fillId="0" borderId="12" xfId="0" applyFont="1" applyBorder="1" applyAlignment="1"/>
    <xf numFmtId="0" fontId="43" fillId="0" borderId="23" xfId="0" applyFont="1" applyBorder="1" applyAlignment="1"/>
    <xf numFmtId="0" fontId="44" fillId="0" borderId="0" xfId="0" applyNumberFormat="1" applyFont="1" applyBorder="1" applyAlignment="1">
      <alignment vertical="center"/>
    </xf>
    <xf numFmtId="0" fontId="28" fillId="0" borderId="50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vertical="center"/>
    </xf>
    <xf numFmtId="0" fontId="45" fillId="3" borderId="0" xfId="0" applyNumberFormat="1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left" vertical="center"/>
    </xf>
    <xf numFmtId="0" fontId="31" fillId="3" borderId="0" xfId="0" applyFont="1" applyFill="1" applyBorder="1" applyAlignment="1">
      <alignment horizontal="center"/>
    </xf>
    <xf numFmtId="0" fontId="31" fillId="3" borderId="0" xfId="0" applyFont="1" applyFill="1" applyBorder="1" applyAlignment="1">
      <alignment horizontal="center" vertical="center"/>
    </xf>
    <xf numFmtId="44" fontId="31" fillId="3" borderId="0" xfId="4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45" fillId="0" borderId="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3" fillId="0" borderId="20" xfId="0" applyNumberFormat="1" applyFont="1" applyBorder="1" applyAlignment="1">
      <alignment vertical="center"/>
    </xf>
    <xf numFmtId="1" fontId="3" fillId="0" borderId="16" xfId="0" applyNumberFormat="1" applyFont="1" applyBorder="1" applyAlignment="1">
      <alignment vertical="center"/>
    </xf>
    <xf numFmtId="0" fontId="44" fillId="0" borderId="21" xfId="0" applyNumberFormat="1" applyFont="1" applyBorder="1" applyAlignment="1">
      <alignment vertical="center"/>
    </xf>
    <xf numFmtId="1" fontId="45" fillId="3" borderId="0" xfId="0" applyNumberFormat="1" applyFont="1" applyFill="1" applyBorder="1" applyAlignment="1">
      <alignment horizontal="center" vertical="center"/>
    </xf>
    <xf numFmtId="0" fontId="31" fillId="3" borderId="0" xfId="0" applyNumberFormat="1" applyFont="1" applyFill="1" applyBorder="1" applyAlignment="1">
      <alignment horizontal="center" vertical="center"/>
    </xf>
    <xf numFmtId="1" fontId="45" fillId="0" borderId="0" xfId="0" applyNumberFormat="1" applyFont="1" applyBorder="1" applyAlignment="1">
      <alignment horizontal="center" vertical="center"/>
    </xf>
    <xf numFmtId="0" fontId="21" fillId="7" borderId="54" xfId="0" applyFont="1" applyFill="1" applyBorder="1" applyAlignment="1">
      <alignment vertical="center"/>
    </xf>
    <xf numFmtId="0" fontId="21" fillId="0" borderId="67" xfId="0" applyFont="1" applyFill="1" applyBorder="1" applyAlignment="1">
      <alignment horizontal="left" vertical="center"/>
    </xf>
    <xf numFmtId="0" fontId="21" fillId="0" borderId="60" xfId="0" applyFont="1" applyFill="1" applyBorder="1" applyAlignment="1">
      <alignment horizontal="center" vertical="center"/>
    </xf>
    <xf numFmtId="2" fontId="26" fillId="0" borderId="60" xfId="0" applyNumberFormat="1" applyFont="1" applyFill="1" applyBorder="1" applyAlignment="1">
      <alignment vertical="center" wrapText="1"/>
    </xf>
    <xf numFmtId="0" fontId="26" fillId="0" borderId="60" xfId="0" applyFont="1" applyFill="1" applyBorder="1" applyAlignment="1">
      <alignment vertical="center" wrapText="1"/>
    </xf>
    <xf numFmtId="0" fontId="26" fillId="0" borderId="60" xfId="0" applyFont="1" applyFill="1" applyBorder="1" applyAlignment="1">
      <alignment horizontal="left"/>
    </xf>
    <xf numFmtId="0" fontId="26" fillId="0" borderId="68" xfId="0" applyFont="1" applyFill="1" applyBorder="1" applyAlignment="1">
      <alignment horizontal="center" vertical="center"/>
    </xf>
    <xf numFmtId="0" fontId="21" fillId="0" borderId="65" xfId="0" applyFont="1" applyFill="1" applyBorder="1" applyAlignment="1">
      <alignment horizontal="center" vertical="center"/>
    </xf>
    <xf numFmtId="0" fontId="21" fillId="0" borderId="70" xfId="0" applyFont="1" applyFill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0" xfId="0" applyFont="1" applyBorder="1"/>
    <xf numFmtId="10" fontId="26" fillId="0" borderId="0" xfId="0" applyNumberFormat="1" applyFont="1" applyBorder="1" applyAlignment="1">
      <alignment horizontal="left" vertical="center"/>
    </xf>
    <xf numFmtId="0" fontId="21" fillId="0" borderId="66" xfId="0" applyFont="1" applyFill="1" applyBorder="1" applyAlignment="1">
      <alignment horizontal="left" vertical="center"/>
    </xf>
    <xf numFmtId="0" fontId="21" fillId="0" borderId="58" xfId="0" applyFont="1" applyFill="1" applyBorder="1" applyAlignment="1">
      <alignment horizontal="left" vertical="center"/>
    </xf>
    <xf numFmtId="0" fontId="26" fillId="0" borderId="58" xfId="0" applyFont="1" applyFill="1" applyBorder="1" applyAlignment="1">
      <alignment horizontal="left" vertical="center"/>
    </xf>
    <xf numFmtId="0" fontId="26" fillId="0" borderId="59" xfId="0" applyFont="1" applyFill="1" applyBorder="1" applyAlignment="1">
      <alignment horizontal="left" vertical="center"/>
    </xf>
    <xf numFmtId="0" fontId="21" fillId="0" borderId="73" xfId="0" applyFont="1" applyFill="1" applyBorder="1" applyAlignment="1">
      <alignment horizontal="center" vertical="center"/>
    </xf>
    <xf numFmtId="10" fontId="26" fillId="0" borderId="0" xfId="0" applyNumberFormat="1" applyFont="1" applyBorder="1"/>
    <xf numFmtId="49" fontId="21" fillId="7" borderId="57" xfId="0" applyNumberFormat="1" applyFont="1" applyFill="1" applyBorder="1" applyAlignment="1">
      <alignment horizontal="right" vertical="center"/>
    </xf>
    <xf numFmtId="2" fontId="21" fillId="7" borderId="43" xfId="0" applyNumberFormat="1" applyFont="1" applyFill="1" applyBorder="1" applyAlignment="1">
      <alignment vertical="center"/>
    </xf>
    <xf numFmtId="49" fontId="21" fillId="7" borderId="56" xfId="0" applyNumberFormat="1" applyFont="1" applyFill="1" applyBorder="1" applyAlignment="1">
      <alignment vertical="center" wrapText="1"/>
    </xf>
    <xf numFmtId="0" fontId="26" fillId="0" borderId="78" xfId="0" applyFont="1" applyFill="1" applyBorder="1" applyAlignment="1">
      <alignment horizontal="center" vertical="center"/>
    </xf>
    <xf numFmtId="0" fontId="26" fillId="0" borderId="79" xfId="0" applyFont="1" applyFill="1" applyBorder="1" applyAlignment="1">
      <alignment horizontal="center" vertical="center"/>
    </xf>
    <xf numFmtId="2" fontId="26" fillId="0" borderId="79" xfId="0" applyNumberFormat="1" applyFont="1" applyFill="1" applyBorder="1" applyAlignment="1">
      <alignment horizontal="center" vertical="center"/>
    </xf>
    <xf numFmtId="0" fontId="26" fillId="0" borderId="80" xfId="0" applyFont="1" applyFill="1" applyBorder="1" applyAlignment="1">
      <alignment horizontal="center" vertical="center"/>
    </xf>
    <xf numFmtId="0" fontId="26" fillId="0" borderId="79" xfId="0" applyFont="1" applyFill="1" applyBorder="1" applyAlignment="1">
      <alignment horizontal="left" vertical="center" wrapText="1"/>
    </xf>
    <xf numFmtId="2" fontId="26" fillId="0" borderId="80" xfId="0" applyNumberFormat="1" applyFont="1" applyFill="1" applyBorder="1" applyAlignment="1">
      <alignment horizontal="center" vertical="center"/>
    </xf>
    <xf numFmtId="0" fontId="26" fillId="0" borderId="82" xfId="0" applyFont="1" applyFill="1" applyBorder="1" applyAlignment="1">
      <alignment horizontal="center" vertical="center"/>
    </xf>
    <xf numFmtId="0" fontId="26" fillId="0" borderId="84" xfId="0" applyFont="1" applyFill="1" applyBorder="1" applyAlignment="1">
      <alignment horizontal="center" vertical="center"/>
    </xf>
    <xf numFmtId="2" fontId="26" fillId="0" borderId="84" xfId="0" applyNumberFormat="1" applyFont="1" applyFill="1" applyBorder="1" applyAlignment="1">
      <alignment horizontal="center" vertical="center"/>
    </xf>
    <xf numFmtId="49" fontId="21" fillId="7" borderId="77" xfId="0" applyNumberFormat="1" applyFont="1" applyFill="1" applyBorder="1" applyAlignment="1">
      <alignment vertical="center"/>
    </xf>
    <xf numFmtId="2" fontId="26" fillId="0" borderId="3" xfId="0" applyNumberFormat="1" applyFont="1" applyFill="1" applyBorder="1" applyAlignment="1">
      <alignment horizontal="center" vertical="center"/>
    </xf>
    <xf numFmtId="0" fontId="2" fillId="0" borderId="0" xfId="9"/>
    <xf numFmtId="0" fontId="2" fillId="0" borderId="0" xfId="9" applyAlignment="1">
      <alignment horizontal="center" vertical="center"/>
    </xf>
    <xf numFmtId="0" fontId="2" fillId="0" borderId="91" xfId="9" applyBorder="1"/>
    <xf numFmtId="0" fontId="2" fillId="0" borderId="92" xfId="9" applyBorder="1" applyAlignment="1">
      <alignment vertical="center"/>
    </xf>
    <xf numFmtId="0" fontId="2" fillId="0" borderId="93" xfId="9" applyNumberFormat="1" applyBorder="1" applyAlignment="1">
      <alignment horizontal="center" vertical="center"/>
    </xf>
    <xf numFmtId="0" fontId="2" fillId="0" borderId="92" xfId="9" applyBorder="1"/>
    <xf numFmtId="0" fontId="2" fillId="0" borderId="93" xfId="9" applyBorder="1"/>
    <xf numFmtId="0" fontId="2" fillId="0" borderId="92" xfId="9" applyFont="1" applyBorder="1"/>
    <xf numFmtId="0" fontId="47" fillId="12" borderId="20" xfId="9" applyNumberFormat="1" applyFont="1" applyFill="1" applyBorder="1" applyAlignment="1" applyProtection="1">
      <alignment vertical="center" wrapText="1"/>
      <protection locked="0"/>
    </xf>
    <xf numFmtId="0" fontId="47" fillId="12" borderId="23" xfId="9" applyNumberFormat="1" applyFont="1" applyFill="1" applyBorder="1" applyAlignment="1" applyProtection="1">
      <alignment vertical="center" wrapText="1"/>
      <protection locked="0"/>
    </xf>
    <xf numFmtId="0" fontId="47" fillId="0" borderId="42" xfId="9" applyFont="1" applyBorder="1" applyAlignment="1">
      <alignment horizontal="center" vertical="center"/>
    </xf>
    <xf numFmtId="0" fontId="47" fillId="12" borderId="16" xfId="9" applyNumberFormat="1" applyFont="1" applyFill="1" applyBorder="1" applyAlignment="1" applyProtection="1">
      <alignment vertical="center" wrapText="1"/>
      <protection locked="0"/>
    </xf>
    <xf numFmtId="0" fontId="47" fillId="12" borderId="24" xfId="9" applyNumberFormat="1" applyFont="1" applyFill="1" applyBorder="1" applyAlignment="1" applyProtection="1">
      <alignment vertical="center" wrapText="1"/>
      <protection locked="0"/>
    </xf>
    <xf numFmtId="0" fontId="2" fillId="0" borderId="24" xfId="9" applyFont="1" applyBorder="1" applyAlignment="1">
      <alignment horizontal="center" vertical="center" wrapText="1"/>
    </xf>
    <xf numFmtId="0" fontId="2" fillId="0" borderId="0" xfId="9" applyBorder="1"/>
    <xf numFmtId="0" fontId="47" fillId="12" borderId="21" xfId="9" applyNumberFormat="1" applyFont="1" applyFill="1" applyBorder="1" applyAlignment="1" applyProtection="1">
      <alignment vertical="center" wrapText="1"/>
      <protection locked="0"/>
    </xf>
    <xf numFmtId="0" fontId="47" fillId="12" borderId="18" xfId="9" applyNumberFormat="1" applyFont="1" applyFill="1" applyBorder="1" applyAlignment="1" applyProtection="1">
      <alignment vertical="center" wrapText="1"/>
      <protection locked="0"/>
    </xf>
    <xf numFmtId="0" fontId="47" fillId="14" borderId="98" xfId="9" applyFont="1" applyFill="1" applyBorder="1" applyAlignment="1">
      <alignment horizontal="center" vertical="center"/>
    </xf>
    <xf numFmtId="0" fontId="47" fillId="10" borderId="98" xfId="9" applyFont="1" applyFill="1" applyBorder="1" applyAlignment="1">
      <alignment horizontal="center" vertical="center"/>
    </xf>
    <xf numFmtId="4" fontId="47" fillId="15" borderId="98" xfId="10" applyNumberFormat="1" applyFont="1" applyFill="1" applyBorder="1" applyAlignment="1" applyProtection="1">
      <alignment horizontal="center" vertical="center" wrapText="1"/>
      <protection locked="0"/>
    </xf>
    <xf numFmtId="0" fontId="47" fillId="10" borderId="99" xfId="9" applyFont="1" applyFill="1" applyBorder="1" applyAlignment="1">
      <alignment horizontal="center" vertical="center"/>
    </xf>
    <xf numFmtId="1" fontId="15" fillId="10" borderId="98" xfId="9" applyNumberFormat="1" applyFont="1" applyFill="1" applyBorder="1" applyAlignment="1">
      <alignment horizontal="center" vertical="center"/>
    </xf>
    <xf numFmtId="0" fontId="15" fillId="10" borderId="98" xfId="9" applyFont="1" applyFill="1" applyBorder="1" applyAlignment="1">
      <alignment horizontal="center" vertical="center"/>
    </xf>
    <xf numFmtId="4" fontId="15" fillId="15" borderId="98" xfId="10" applyNumberFormat="1" applyFont="1" applyFill="1" applyBorder="1" applyAlignment="1" applyProtection="1">
      <alignment horizontal="center" vertical="center" wrapText="1"/>
      <protection locked="0"/>
    </xf>
    <xf numFmtId="0" fontId="15" fillId="10" borderId="99" xfId="9" applyFont="1" applyFill="1" applyBorder="1" applyAlignment="1">
      <alignment horizontal="center" vertical="center"/>
    </xf>
    <xf numFmtId="10" fontId="29" fillId="0" borderId="22" xfId="9" applyNumberFormat="1" applyFont="1" applyBorder="1" applyAlignment="1">
      <alignment horizontal="center" vertical="center"/>
    </xf>
    <xf numFmtId="10" fontId="29" fillId="0" borderId="12" xfId="9" applyNumberFormat="1" applyFont="1" applyBorder="1" applyAlignment="1">
      <alignment horizontal="center" vertical="center"/>
    </xf>
    <xf numFmtId="10" fontId="29" fillId="0" borderId="56" xfId="9" applyNumberFormat="1" applyFont="1" applyBorder="1" applyAlignment="1">
      <alignment horizontal="center" vertical="center"/>
    </xf>
    <xf numFmtId="10" fontId="29" fillId="16" borderId="55" xfId="10" applyNumberFormat="1" applyFont="1" applyFill="1" applyBorder="1" applyAlignment="1" applyProtection="1">
      <alignment horizontal="center" vertical="center" wrapText="1"/>
      <protection locked="0"/>
    </xf>
    <xf numFmtId="10" fontId="29" fillId="0" borderId="23" xfId="9" applyNumberFormat="1" applyFont="1" applyBorder="1" applyAlignment="1">
      <alignment horizontal="center" vertical="center"/>
    </xf>
    <xf numFmtId="10" fontId="49" fillId="6" borderId="66" xfId="9" applyNumberFormat="1" applyFont="1" applyFill="1" applyBorder="1" applyAlignment="1">
      <alignment horizontal="center" vertical="center"/>
    </xf>
    <xf numFmtId="10" fontId="49" fillId="6" borderId="58" xfId="9" applyNumberFormat="1" applyFont="1" applyFill="1" applyBorder="1" applyAlignment="1">
      <alignment horizontal="center" vertical="center"/>
    </xf>
    <xf numFmtId="10" fontId="53" fillId="6" borderId="58" xfId="9" applyNumberFormat="1" applyFont="1" applyFill="1" applyBorder="1" applyAlignment="1">
      <alignment horizontal="center" vertical="center"/>
    </xf>
    <xf numFmtId="0" fontId="2" fillId="6" borderId="58" xfId="9" applyFill="1" applyBorder="1"/>
    <xf numFmtId="4" fontId="47" fillId="17" borderId="58" xfId="10" applyNumberFormat="1" applyFont="1" applyFill="1" applyBorder="1" applyAlignment="1" applyProtection="1">
      <alignment horizontal="center" vertical="center" wrapText="1"/>
      <protection locked="0"/>
    </xf>
    <xf numFmtId="0" fontId="2" fillId="6" borderId="77" xfId="9" applyFill="1" applyBorder="1"/>
    <xf numFmtId="4" fontId="47" fillId="0" borderId="77" xfId="9" applyNumberFormat="1" applyFont="1" applyBorder="1" applyAlignment="1">
      <alignment horizontal="center" vertical="center"/>
    </xf>
    <xf numFmtId="4" fontId="47" fillId="0" borderId="59" xfId="9" applyNumberFormat="1" applyFont="1" applyBorder="1" applyAlignment="1">
      <alignment horizontal="center" vertical="center"/>
    </xf>
    <xf numFmtId="10" fontId="29" fillId="0" borderId="2" xfId="9" applyNumberFormat="1" applyFont="1" applyBorder="1" applyAlignment="1">
      <alignment horizontal="center" vertical="center"/>
    </xf>
    <xf numFmtId="10" fontId="29" fillId="0" borderId="0" xfId="9" applyNumberFormat="1" applyFont="1" applyBorder="1" applyAlignment="1">
      <alignment horizontal="center" vertical="center"/>
    </xf>
    <xf numFmtId="10" fontId="29" fillId="0" borderId="103" xfId="9" applyNumberFormat="1" applyFont="1" applyBorder="1" applyAlignment="1">
      <alignment horizontal="center" vertical="center"/>
    </xf>
    <xf numFmtId="10" fontId="29" fillId="0" borderId="88" xfId="9" applyNumberFormat="1" applyFont="1" applyBorder="1" applyAlignment="1">
      <alignment horizontal="center" vertical="center"/>
    </xf>
    <xf numFmtId="10" fontId="29" fillId="0" borderId="92" xfId="9" applyNumberFormat="1" applyFont="1" applyBorder="1" applyAlignment="1">
      <alignment horizontal="center" vertical="center"/>
    </xf>
    <xf numFmtId="170" fontId="29" fillId="16" borderId="91" xfId="9" applyNumberFormat="1" applyFont="1" applyFill="1" applyBorder="1" applyAlignment="1" applyProtection="1">
      <alignment horizontal="center" vertical="center" wrapText="1"/>
      <protection locked="0"/>
    </xf>
    <xf numFmtId="10" fontId="29" fillId="0" borderId="107" xfId="9" applyNumberFormat="1" applyFont="1" applyBorder="1" applyAlignment="1">
      <alignment horizontal="center" vertical="center"/>
    </xf>
    <xf numFmtId="39" fontId="47" fillId="17" borderId="58" xfId="9" applyNumberFormat="1" applyFont="1" applyFill="1" applyBorder="1" applyAlignment="1" applyProtection="1">
      <alignment horizontal="center" vertical="center" wrapText="1"/>
      <protection locked="0"/>
    </xf>
    <xf numFmtId="0" fontId="2" fillId="6" borderId="59" xfId="9" applyFill="1" applyBorder="1"/>
    <xf numFmtId="4" fontId="47" fillId="0" borderId="77" xfId="8" applyNumberFormat="1" applyFont="1" applyBorder="1" applyAlignment="1">
      <alignment horizontal="center" vertical="center"/>
    </xf>
    <xf numFmtId="10" fontId="29" fillId="0" borderId="89" xfId="9" applyNumberFormat="1" applyFont="1" applyBorder="1" applyAlignment="1">
      <alignment horizontal="center" vertical="center"/>
    </xf>
    <xf numFmtId="10" fontId="29" fillId="0" borderId="93" xfId="9" applyNumberFormat="1" applyFont="1" applyBorder="1" applyAlignment="1">
      <alignment horizontal="center" vertical="center"/>
    </xf>
    <xf numFmtId="10" fontId="29" fillId="0" borderId="91" xfId="9" applyNumberFormat="1" applyFont="1" applyBorder="1" applyAlignment="1">
      <alignment horizontal="center" vertical="center"/>
    </xf>
    <xf numFmtId="10" fontId="29" fillId="3" borderId="91" xfId="10" applyNumberFormat="1" applyFont="1" applyFill="1" applyBorder="1" applyAlignment="1">
      <alignment horizontal="center" vertical="center"/>
    </xf>
    <xf numFmtId="4" fontId="47" fillId="6" borderId="58" xfId="10" applyNumberFormat="1" applyFont="1" applyFill="1" applyBorder="1" applyAlignment="1">
      <alignment horizontal="center" vertical="center"/>
    </xf>
    <xf numFmtId="170" fontId="29" fillId="3" borderId="91" xfId="10" applyNumberFormat="1" applyFont="1" applyFill="1" applyBorder="1" applyAlignment="1">
      <alignment horizontal="center" vertical="center"/>
    </xf>
    <xf numFmtId="10" fontId="29" fillId="3" borderId="89" xfId="9" applyNumberFormat="1" applyFont="1" applyFill="1" applyBorder="1" applyAlignment="1">
      <alignment horizontal="center" vertical="center"/>
    </xf>
    <xf numFmtId="0" fontId="2" fillId="0" borderId="88" xfId="9" applyBorder="1"/>
    <xf numFmtId="0" fontId="2" fillId="0" borderId="103" xfId="9" applyBorder="1"/>
    <xf numFmtId="0" fontId="2" fillId="0" borderId="2" xfId="9" applyBorder="1"/>
    <xf numFmtId="0" fontId="49" fillId="18" borderId="9" xfId="9" applyFont="1" applyFill="1" applyBorder="1" applyAlignment="1">
      <alignment horizontal="center" vertical="center"/>
    </xf>
    <xf numFmtId="10" fontId="47" fillId="18" borderId="98" xfId="9" applyNumberFormat="1" applyFont="1" applyFill="1" applyBorder="1" applyAlignment="1">
      <alignment horizontal="center" vertical="center"/>
    </xf>
    <xf numFmtId="164" fontId="47" fillId="18" borderId="11" xfId="8" applyNumberFormat="1" applyFont="1" applyFill="1" applyBorder="1" applyAlignment="1">
      <alignment horizontal="center" vertical="center"/>
    </xf>
    <xf numFmtId="4" fontId="47" fillId="18" borderId="75" xfId="9" applyNumberFormat="1" applyFont="1" applyFill="1" applyBorder="1" applyAlignment="1">
      <alignment horizontal="center" vertical="center"/>
    </xf>
    <xf numFmtId="4" fontId="47" fillId="18" borderId="10" xfId="9" applyNumberFormat="1" applyFont="1" applyFill="1" applyBorder="1" applyAlignment="1">
      <alignment horizontal="center" vertical="center"/>
    </xf>
    <xf numFmtId="4" fontId="47" fillId="18" borderId="98" xfId="9" applyNumberFormat="1" applyFont="1" applyFill="1" applyBorder="1" applyAlignment="1">
      <alignment horizontal="center" vertical="center"/>
    </xf>
    <xf numFmtId="4" fontId="47" fillId="18" borderId="112" xfId="9" applyNumberFormat="1" applyFont="1" applyFill="1" applyBorder="1" applyAlignment="1">
      <alignment horizontal="center" vertical="center"/>
    </xf>
    <xf numFmtId="4" fontId="47" fillId="18" borderId="11" xfId="9" applyNumberFormat="1" applyFont="1" applyFill="1" applyBorder="1" applyAlignment="1">
      <alignment horizontal="center" vertical="center"/>
    </xf>
    <xf numFmtId="0" fontId="49" fillId="18" borderId="9" xfId="9" applyFont="1" applyFill="1" applyBorder="1" applyAlignment="1">
      <alignment vertical="center"/>
    </xf>
    <xf numFmtId="0" fontId="49" fillId="18" borderId="10" xfId="9" applyFont="1" applyFill="1" applyBorder="1" applyAlignment="1">
      <alignment vertical="center"/>
    </xf>
    <xf numFmtId="164" fontId="49" fillId="18" borderId="11" xfId="8" applyNumberFormat="1" applyFont="1" applyFill="1" applyBorder="1" applyAlignment="1">
      <alignment horizontal="center" vertical="center"/>
    </xf>
    <xf numFmtId="4" fontId="47" fillId="19" borderId="11" xfId="9" applyNumberFormat="1" applyFont="1" applyFill="1" applyBorder="1" applyAlignment="1">
      <alignment horizontal="center" vertical="center"/>
    </xf>
    <xf numFmtId="10" fontId="47" fillId="18" borderId="75" xfId="9" applyNumberFormat="1" applyFont="1" applyFill="1" applyBorder="1" applyAlignment="1">
      <alignment horizontal="center" vertical="center"/>
    </xf>
    <xf numFmtId="10" fontId="47" fillId="18" borderId="10" xfId="9" applyNumberFormat="1" applyFont="1" applyFill="1" applyBorder="1" applyAlignment="1">
      <alignment horizontal="center" vertical="center"/>
    </xf>
    <xf numFmtId="10" fontId="47" fillId="18" borderId="112" xfId="9" applyNumberFormat="1" applyFont="1" applyFill="1" applyBorder="1" applyAlignment="1">
      <alignment horizontal="center" vertical="center"/>
    </xf>
    <xf numFmtId="10" fontId="47" fillId="18" borderId="11" xfId="9" applyNumberFormat="1" applyFont="1" applyFill="1" applyBorder="1" applyAlignment="1">
      <alignment horizontal="center" vertical="center"/>
    </xf>
    <xf numFmtId="0" fontId="49" fillId="18" borderId="11" xfId="9" applyNumberFormat="1" applyFont="1" applyFill="1" applyBorder="1" applyAlignment="1">
      <alignment horizontal="center" vertical="center"/>
    </xf>
    <xf numFmtId="0" fontId="2" fillId="0" borderId="0" xfId="9" applyBorder="1" applyAlignment="1">
      <alignment vertical="center"/>
    </xf>
    <xf numFmtId="0" fontId="2" fillId="0" borderId="0" xfId="9" applyNumberFormat="1" applyBorder="1" applyAlignment="1">
      <alignment horizontal="center" vertical="center"/>
    </xf>
    <xf numFmtId="0" fontId="2" fillId="0" borderId="103" xfId="9" applyBorder="1" applyAlignment="1">
      <alignment vertical="center"/>
    </xf>
    <xf numFmtId="0" fontId="30" fillId="4" borderId="0" xfId="6" applyFont="1" applyBorder="1" applyAlignment="1">
      <alignment horizontal="center" wrapText="1"/>
    </xf>
    <xf numFmtId="0" fontId="31" fillId="4" borderId="0" xfId="6" applyFont="1" applyBorder="1" applyAlignment="1">
      <alignment horizontal="center"/>
    </xf>
    <xf numFmtId="0" fontId="38" fillId="6" borderId="0" xfId="6" applyFont="1" applyFill="1" applyBorder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54" fillId="7" borderId="54" xfId="0" applyFont="1" applyFill="1" applyBorder="1" applyAlignment="1">
      <alignment vertical="center"/>
    </xf>
    <xf numFmtId="0" fontId="54" fillId="7" borderId="56" xfId="0" applyFont="1" applyFill="1" applyBorder="1" applyAlignment="1">
      <alignment vertical="center" wrapText="1"/>
    </xf>
    <xf numFmtId="0" fontId="56" fillId="0" borderId="62" xfId="0" applyFont="1" applyBorder="1" applyAlignment="1">
      <alignment horizontal="center" vertical="center"/>
    </xf>
    <xf numFmtId="2" fontId="56" fillId="0" borderId="62" xfId="0" applyNumberFormat="1" applyFont="1" applyBorder="1" applyAlignment="1">
      <alignment horizontal="center" vertical="center"/>
    </xf>
    <xf numFmtId="0" fontId="56" fillId="0" borderId="16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applyFont="1" applyBorder="1"/>
    <xf numFmtId="0" fontId="56" fillId="0" borderId="0" xfId="0" applyFont="1" applyBorder="1" applyAlignment="1">
      <alignment vertical="center"/>
    </xf>
    <xf numFmtId="0" fontId="56" fillId="0" borderId="58" xfId="0" applyFont="1" applyFill="1" applyBorder="1" applyAlignment="1">
      <alignment horizontal="left" vertical="center"/>
    </xf>
    <xf numFmtId="0" fontId="54" fillId="0" borderId="61" xfId="0" applyFont="1" applyFill="1" applyBorder="1" applyAlignment="1">
      <alignment horizontal="center" vertical="center"/>
    </xf>
    <xf numFmtId="0" fontId="56" fillId="3" borderId="65" xfId="0" applyFont="1" applyFill="1" applyBorder="1" applyAlignment="1">
      <alignment horizontal="center" vertical="center"/>
    </xf>
    <xf numFmtId="2" fontId="56" fillId="3" borderId="65" xfId="0" applyNumberFormat="1" applyFont="1" applyFill="1" applyBorder="1" applyAlignment="1">
      <alignment horizontal="center" vertical="center"/>
    </xf>
    <xf numFmtId="0" fontId="56" fillId="3" borderId="79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center" vertical="center"/>
    </xf>
    <xf numFmtId="0" fontId="56" fillId="3" borderId="0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center" vertical="center"/>
    </xf>
    <xf numFmtId="10" fontId="56" fillId="0" borderId="0" xfId="0" applyNumberFormat="1" applyFont="1" applyBorder="1"/>
    <xf numFmtId="0" fontId="56" fillId="0" borderId="2" xfId="0" applyFont="1" applyBorder="1"/>
    <xf numFmtId="0" fontId="55" fillId="7" borderId="77" xfId="0" applyFont="1" applyFill="1" applyBorder="1" applyAlignment="1">
      <alignment vertical="center"/>
    </xf>
    <xf numFmtId="49" fontId="54" fillId="7" borderId="57" xfId="0" applyNumberFormat="1" applyFont="1" applyFill="1" applyBorder="1" applyAlignment="1">
      <alignment horizontal="right" vertical="center"/>
    </xf>
    <xf numFmtId="2" fontId="54" fillId="7" borderId="23" xfId="0" applyNumberFormat="1" applyFont="1" applyFill="1" applyBorder="1" applyAlignment="1">
      <alignment vertical="center"/>
    </xf>
    <xf numFmtId="0" fontId="56" fillId="0" borderId="68" xfId="0" applyFont="1" applyFill="1" applyBorder="1" applyAlignment="1">
      <alignment horizontal="center" vertical="center"/>
    </xf>
    <xf numFmtId="0" fontId="54" fillId="0" borderId="70" xfId="0" applyFont="1" applyFill="1" applyBorder="1" applyAlignment="1">
      <alignment horizontal="center" vertical="center"/>
    </xf>
    <xf numFmtId="2" fontId="56" fillId="0" borderId="72" xfId="0" applyNumberFormat="1" applyFont="1" applyBorder="1" applyAlignment="1">
      <alignment horizontal="center" vertical="center"/>
    </xf>
    <xf numFmtId="2" fontId="56" fillId="0" borderId="24" xfId="0" applyNumberFormat="1" applyFont="1" applyBorder="1" applyAlignment="1">
      <alignment horizontal="center" vertical="center"/>
    </xf>
    <xf numFmtId="0" fontId="56" fillId="0" borderId="59" xfId="0" applyFont="1" applyFill="1" applyBorder="1" applyAlignment="1">
      <alignment horizontal="left" vertical="center"/>
    </xf>
    <xf numFmtId="0" fontId="54" fillId="0" borderId="74" xfId="0" applyFont="1" applyFill="1" applyBorder="1" applyAlignment="1">
      <alignment horizontal="center" vertical="center"/>
    </xf>
    <xf numFmtId="2" fontId="56" fillId="3" borderId="70" xfId="0" applyNumberFormat="1" applyFont="1" applyFill="1" applyBorder="1" applyAlignment="1">
      <alignment horizontal="center" vertical="center"/>
    </xf>
    <xf numFmtId="2" fontId="56" fillId="3" borderId="80" xfId="0" applyNumberFormat="1" applyFont="1" applyFill="1" applyBorder="1" applyAlignment="1">
      <alignment horizontal="center" vertical="center"/>
    </xf>
    <xf numFmtId="2" fontId="54" fillId="7" borderId="43" xfId="0" applyNumberFormat="1" applyFont="1" applyFill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1" fontId="11" fillId="0" borderId="42" xfId="0" applyNumberFormat="1" applyFont="1" applyBorder="1" applyAlignment="1">
      <alignment horizontal="center" vertical="center"/>
    </xf>
    <xf numFmtId="0" fontId="11" fillId="3" borderId="42" xfId="0" applyNumberFormat="1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 wrapText="1"/>
    </xf>
    <xf numFmtId="0" fontId="0" fillId="0" borderId="0" xfId="0"/>
    <xf numFmtId="0" fontId="21" fillId="3" borderId="79" xfId="0" applyFont="1" applyFill="1" applyBorder="1" applyAlignment="1">
      <alignment horizontal="left" vertical="center" wrapText="1"/>
    </xf>
    <xf numFmtId="0" fontId="21" fillId="0" borderId="69" xfId="0" applyFont="1" applyFill="1" applyBorder="1" applyAlignment="1">
      <alignment horizontal="center" vertical="center"/>
    </xf>
    <xf numFmtId="0" fontId="26" fillId="0" borderId="71" xfId="0" applyFont="1" applyBorder="1" applyAlignment="1">
      <alignment horizontal="center" vertical="center"/>
    </xf>
    <xf numFmtId="0" fontId="26" fillId="0" borderId="62" xfId="0" applyFont="1" applyBorder="1" applyAlignment="1">
      <alignment horizontal="left" vertical="center"/>
    </xf>
    <xf numFmtId="0" fontId="26" fillId="0" borderId="62" xfId="0" applyFont="1" applyBorder="1" applyAlignment="1">
      <alignment horizontal="left" vertical="center" wrapText="1"/>
    </xf>
    <xf numFmtId="0" fontId="26" fillId="3" borderId="69" xfId="0" applyFont="1" applyFill="1" applyBorder="1" applyAlignment="1">
      <alignment horizontal="center" vertical="center"/>
    </xf>
    <xf numFmtId="0" fontId="26" fillId="3" borderId="65" xfId="0" applyFont="1" applyFill="1" applyBorder="1" applyAlignment="1">
      <alignment horizontal="left" vertical="center" wrapText="1"/>
    </xf>
    <xf numFmtId="0" fontId="26" fillId="3" borderId="78" xfId="0" applyFont="1" applyFill="1" applyBorder="1" applyAlignment="1">
      <alignment horizontal="center" vertical="center"/>
    </xf>
    <xf numFmtId="49" fontId="21" fillId="7" borderId="55" xfId="0" applyNumberFormat="1" applyFont="1" applyFill="1" applyBorder="1" applyAlignment="1">
      <alignment horizontal="right" vertical="center"/>
    </xf>
    <xf numFmtId="0" fontId="26" fillId="0" borderId="62" xfId="0" applyFont="1" applyBorder="1" applyAlignment="1">
      <alignment horizontal="center" vertical="center"/>
    </xf>
    <xf numFmtId="2" fontId="26" fillId="0" borderId="62" xfId="0" applyNumberFormat="1" applyFont="1" applyBorder="1" applyAlignment="1">
      <alignment horizontal="center" vertical="center"/>
    </xf>
    <xf numFmtId="0" fontId="21" fillId="20" borderId="63" xfId="0" applyFont="1" applyFill="1" applyBorder="1" applyAlignment="1">
      <alignment vertical="center"/>
    </xf>
    <xf numFmtId="0" fontId="21" fillId="20" borderId="64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2" fontId="21" fillId="0" borderId="24" xfId="0" applyNumberFormat="1" applyFont="1" applyFill="1" applyBorder="1" applyAlignment="1">
      <alignment horizontal="center" vertical="center"/>
    </xf>
    <xf numFmtId="0" fontId="21" fillId="0" borderId="60" xfId="0" applyFont="1" applyFill="1" applyBorder="1" applyAlignment="1">
      <alignment vertical="center"/>
    </xf>
    <xf numFmtId="0" fontId="21" fillId="0" borderId="63" xfId="0" applyFont="1" applyFill="1" applyBorder="1" applyAlignment="1">
      <alignment vertical="center"/>
    </xf>
    <xf numFmtId="0" fontId="21" fillId="0" borderId="64" xfId="0" applyFont="1" applyFill="1" applyBorder="1" applyAlignment="1">
      <alignment vertical="center"/>
    </xf>
    <xf numFmtId="2" fontId="21" fillId="0" borderId="19" xfId="0" applyNumberFormat="1" applyFont="1" applyFill="1" applyBorder="1" applyAlignment="1">
      <alignment horizontal="center" vertical="center"/>
    </xf>
    <xf numFmtId="0" fontId="0" fillId="0" borderId="16" xfId="0" applyBorder="1"/>
    <xf numFmtId="0" fontId="0" fillId="0" borderId="0" xfId="0"/>
    <xf numFmtId="2" fontId="26" fillId="0" borderId="72" xfId="0" applyNumberFormat="1" applyFont="1" applyBorder="1" applyAlignment="1">
      <alignment horizontal="center" vertical="center"/>
    </xf>
    <xf numFmtId="49" fontId="3" fillId="7" borderId="76" xfId="0" applyNumberFormat="1" applyFont="1" applyFill="1" applyBorder="1" applyAlignment="1">
      <alignment vertical="center"/>
    </xf>
    <xf numFmtId="0" fontId="21" fillId="7" borderId="77" xfId="0" applyFont="1" applyFill="1" applyBorder="1" applyAlignment="1">
      <alignment vertical="center"/>
    </xf>
    <xf numFmtId="0" fontId="26" fillId="0" borderId="79" xfId="0" applyFont="1" applyFill="1" applyBorder="1" applyAlignment="1">
      <alignment horizontal="left" vertical="center"/>
    </xf>
    <xf numFmtId="0" fontId="26" fillId="0" borderId="81" xfId="0" applyFont="1" applyFill="1" applyBorder="1" applyAlignment="1">
      <alignment horizontal="center" vertical="center"/>
    </xf>
    <xf numFmtId="0" fontId="21" fillId="0" borderId="82" xfId="0" applyFont="1" applyFill="1" applyBorder="1" applyAlignment="1">
      <alignment horizontal="left" vertical="center" wrapText="1"/>
    </xf>
    <xf numFmtId="167" fontId="24" fillId="9" borderId="11" xfId="7" applyNumberFormat="1" applyFont="1" applyFill="1" applyBorder="1" applyAlignment="1">
      <alignment horizontal="center" vertical="center" wrapText="1"/>
    </xf>
    <xf numFmtId="0" fontId="26" fillId="0" borderId="83" xfId="0" applyFont="1" applyFill="1" applyBorder="1" applyAlignment="1">
      <alignment horizontal="center" vertical="center"/>
    </xf>
    <xf numFmtId="0" fontId="26" fillId="0" borderId="84" xfId="0" applyFont="1" applyFill="1" applyBorder="1" applyAlignment="1">
      <alignment horizontal="left" vertical="center" wrapText="1"/>
    </xf>
    <xf numFmtId="0" fontId="26" fillId="0" borderId="78" xfId="0" applyFont="1" applyFill="1" applyBorder="1" applyAlignment="1">
      <alignment horizontal="center" vertical="center" wrapText="1"/>
    </xf>
    <xf numFmtId="49" fontId="21" fillId="7" borderId="77" xfId="0" applyNumberFormat="1" applyFont="1" applyFill="1" applyBorder="1" applyAlignment="1">
      <alignment vertical="center" wrapText="1"/>
    </xf>
    <xf numFmtId="0" fontId="26" fillId="0" borderId="27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left" vertical="center"/>
    </xf>
    <xf numFmtId="2" fontId="15" fillId="0" borderId="58" xfId="0" applyNumberFormat="1" applyFont="1" applyFill="1" applyBorder="1" applyAlignment="1">
      <alignment vertical="center" wrapText="1"/>
    </xf>
    <xf numFmtId="0" fontId="26" fillId="0" borderId="58" xfId="0" applyFont="1" applyFill="1" applyBorder="1" applyAlignment="1">
      <alignment vertical="center" wrapText="1"/>
    </xf>
    <xf numFmtId="49" fontId="21" fillId="0" borderId="58" xfId="0" applyNumberFormat="1" applyFont="1" applyFill="1" applyBorder="1" applyAlignment="1">
      <alignment horizontal="right" vertical="center"/>
    </xf>
    <xf numFmtId="0" fontId="21" fillId="0" borderId="59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26" fillId="0" borderId="0" xfId="0" applyFont="1" applyFill="1" applyBorder="1" applyAlignment="1">
      <alignment vertical="center"/>
    </xf>
    <xf numFmtId="2" fontId="26" fillId="0" borderId="24" xfId="0" applyNumberFormat="1" applyFont="1" applyFill="1" applyBorder="1" applyAlignment="1">
      <alignment horizontal="center" vertical="center"/>
    </xf>
    <xf numFmtId="10" fontId="26" fillId="0" borderId="0" xfId="0" applyNumberFormat="1" applyFont="1" applyFill="1" applyBorder="1"/>
    <xf numFmtId="44" fontId="0" fillId="0" borderId="0" xfId="4" applyFont="1"/>
    <xf numFmtId="4" fontId="2" fillId="6" borderId="3" xfId="1" applyNumberFormat="1" applyFont="1" applyFill="1" applyBorder="1" applyAlignment="1">
      <alignment horizontal="center" vertical="center"/>
    </xf>
    <xf numFmtId="0" fontId="2" fillId="0" borderId="44" xfId="1" applyNumberFormat="1" applyFont="1" applyFill="1" applyBorder="1" applyAlignment="1">
      <alignment horizontal="center" vertical="center"/>
    </xf>
    <xf numFmtId="4" fontId="31" fillId="3" borderId="3" xfId="1" applyNumberFormat="1" applyFont="1" applyFill="1" applyBorder="1" applyAlignment="1">
      <alignment horizontal="center" vertical="center"/>
    </xf>
    <xf numFmtId="4" fontId="31" fillId="0" borderId="3" xfId="1" applyNumberFormat="1" applyFont="1" applyFill="1" applyBorder="1" applyAlignment="1">
      <alignment horizontal="center" vertical="center"/>
    </xf>
    <xf numFmtId="0" fontId="26" fillId="22" borderId="16" xfId="0" applyFont="1" applyFill="1" applyBorder="1" applyAlignment="1">
      <alignment horizontal="center" vertical="center"/>
    </xf>
    <xf numFmtId="0" fontId="26" fillId="22" borderId="0" xfId="0" applyFont="1" applyFill="1" applyBorder="1" applyAlignment="1">
      <alignment horizontal="center" vertical="center"/>
    </xf>
    <xf numFmtId="0" fontId="26" fillId="22" borderId="0" xfId="0" applyFont="1" applyFill="1" applyBorder="1"/>
    <xf numFmtId="0" fontId="21" fillId="22" borderId="58" xfId="0" applyFont="1" applyFill="1" applyBorder="1" applyAlignment="1">
      <alignment vertical="center"/>
    </xf>
    <xf numFmtId="0" fontId="21" fillId="22" borderId="60" xfId="0" applyFont="1" applyFill="1" applyBorder="1" applyAlignment="1">
      <alignment vertical="center"/>
    </xf>
    <xf numFmtId="2" fontId="21" fillId="22" borderId="68" xfId="0" applyNumberFormat="1" applyFont="1" applyFill="1" applyBorder="1" applyAlignment="1">
      <alignment horizontal="center" vertical="center"/>
    </xf>
    <xf numFmtId="4" fontId="31" fillId="0" borderId="6" xfId="1" applyNumberFormat="1" applyFont="1" applyFill="1" applyBorder="1" applyAlignment="1">
      <alignment horizontal="center" vertical="center"/>
    </xf>
    <xf numFmtId="0" fontId="15" fillId="0" borderId="8" xfId="6" applyFont="1" applyFill="1" applyBorder="1" applyAlignment="1">
      <alignment horizontal="center"/>
    </xf>
    <xf numFmtId="4" fontId="31" fillId="5" borderId="3" xfId="1" applyNumberFormat="1" applyFont="1" applyFill="1" applyBorder="1" applyAlignment="1">
      <alignment horizontal="center" vertical="center"/>
    </xf>
    <xf numFmtId="4" fontId="31" fillId="0" borderId="32" xfId="1" applyNumberFormat="1" applyFont="1" applyFill="1" applyBorder="1" applyAlignment="1">
      <alignment horizontal="center" vertical="center"/>
    </xf>
    <xf numFmtId="4" fontId="31" fillId="0" borderId="30" xfId="1" applyNumberFormat="1" applyFont="1" applyFill="1" applyBorder="1" applyAlignment="1">
      <alignment horizontal="center" vertical="center"/>
    </xf>
    <xf numFmtId="0" fontId="56" fillId="22" borderId="0" xfId="0" applyFont="1" applyFill="1" applyAlignment="1">
      <alignment horizontal="center" vertical="center"/>
    </xf>
    <xf numFmtId="0" fontId="21" fillId="7" borderId="54" xfId="0" applyFont="1" applyFill="1" applyBorder="1" applyAlignment="1">
      <alignment horizontal="justify" vertical="center" wrapText="1"/>
    </xf>
    <xf numFmtId="44" fontId="24" fillId="9" borderId="10" xfId="4" applyFont="1" applyFill="1" applyBorder="1" applyAlignment="1">
      <alignment horizontal="center" vertical="center" wrapText="1"/>
    </xf>
    <xf numFmtId="4" fontId="2" fillId="21" borderId="3" xfId="1" applyNumberFormat="1" applyFont="1" applyFill="1" applyBorder="1" applyAlignment="1">
      <alignment horizontal="center" vertical="center"/>
    </xf>
    <xf numFmtId="4" fontId="15" fillId="21" borderId="3" xfId="1" applyNumberFormat="1" applyFont="1" applyFill="1" applyBorder="1" applyAlignment="1">
      <alignment horizontal="center" vertical="center"/>
    </xf>
    <xf numFmtId="49" fontId="2" fillId="21" borderId="3" xfId="1" quotePrefix="1" applyNumberFormat="1" applyFont="1" applyFill="1" applyBorder="1" applyAlignment="1">
      <alignment horizontal="center" vertical="center"/>
    </xf>
    <xf numFmtId="0" fontId="8" fillId="21" borderId="3" xfId="0" applyFont="1" applyFill="1" applyBorder="1"/>
    <xf numFmtId="165" fontId="8" fillId="21" borderId="3" xfId="5" applyNumberFormat="1" applyFont="1" applyFill="1" applyBorder="1" applyAlignment="1">
      <alignment horizontal="center" vertical="center"/>
    </xf>
    <xf numFmtId="0" fontId="2" fillId="21" borderId="3" xfId="1" applyNumberFormat="1" applyFont="1" applyFill="1" applyBorder="1" applyAlignment="1">
      <alignment horizontal="center" vertical="center"/>
    </xf>
    <xf numFmtId="49" fontId="2" fillId="21" borderId="3" xfId="1" applyNumberFormat="1" applyFont="1" applyFill="1" applyBorder="1" applyAlignment="1">
      <alignment horizontal="center" vertical="center"/>
    </xf>
    <xf numFmtId="1" fontId="11" fillId="0" borderId="49" xfId="0" applyNumberFormat="1" applyFont="1" applyFill="1" applyBorder="1" applyAlignment="1">
      <alignment horizontal="center" vertical="center"/>
    </xf>
    <xf numFmtId="0" fontId="11" fillId="0" borderId="50" xfId="0" applyNumberFormat="1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1" fontId="47" fillId="4" borderId="38" xfId="6" applyNumberFormat="1" applyFont="1" applyBorder="1" applyAlignment="1">
      <alignment horizontal="center" vertical="center"/>
    </xf>
    <xf numFmtId="1" fontId="47" fillId="0" borderId="26" xfId="0" applyNumberFormat="1" applyFont="1" applyFill="1" applyBorder="1" applyAlignment="1">
      <alignment horizontal="center" vertical="center"/>
    </xf>
    <xf numFmtId="0" fontId="47" fillId="0" borderId="4" xfId="1" applyFont="1" applyFill="1" applyBorder="1" applyAlignment="1">
      <alignment vertical="center"/>
    </xf>
    <xf numFmtId="0" fontId="47" fillId="0" borderId="5" xfId="1" applyNumberFormat="1" applyFont="1" applyFill="1" applyBorder="1" applyAlignment="1">
      <alignment vertical="center"/>
    </xf>
    <xf numFmtId="0" fontId="47" fillId="0" borderId="5" xfId="1" applyFont="1" applyFill="1" applyBorder="1" applyAlignment="1">
      <alignment vertical="center"/>
    </xf>
    <xf numFmtId="0" fontId="49" fillId="0" borderId="5" xfId="1" applyFont="1" applyFill="1" applyBorder="1" applyAlignment="1">
      <alignment horizontal="center" vertical="center"/>
    </xf>
    <xf numFmtId="4" fontId="49" fillId="0" borderId="5" xfId="1" applyNumberFormat="1" applyFont="1" applyFill="1" applyBorder="1" applyAlignment="1">
      <alignment horizontal="center" vertical="center"/>
    </xf>
    <xf numFmtId="4" fontId="49" fillId="0" borderId="39" xfId="1" applyNumberFormat="1" applyFont="1" applyFill="1" applyBorder="1" applyAlignment="1">
      <alignment horizontal="center" vertical="center"/>
    </xf>
    <xf numFmtId="4" fontId="49" fillId="0" borderId="15" xfId="1" applyNumberFormat="1" applyFont="1" applyFill="1" applyBorder="1" applyAlignment="1">
      <alignment horizontal="center" vertical="center"/>
    </xf>
    <xf numFmtId="1" fontId="63" fillId="0" borderId="27" xfId="0" applyNumberFormat="1" applyFont="1" applyBorder="1" applyAlignment="1">
      <alignment horizontal="center" vertical="center"/>
    </xf>
    <xf numFmtId="0" fontId="63" fillId="3" borderId="3" xfId="1" applyNumberFormat="1" applyFont="1" applyFill="1" applyBorder="1" applyAlignment="1">
      <alignment horizontal="center" vertical="center"/>
    </xf>
    <xf numFmtId="0" fontId="63" fillId="0" borderId="3" xfId="1" applyNumberFormat="1" applyFont="1" applyFill="1" applyBorder="1" applyAlignment="1">
      <alignment horizontal="center" vertical="center"/>
    </xf>
    <xf numFmtId="0" fontId="63" fillId="3" borderId="3" xfId="1" applyFont="1" applyFill="1" applyBorder="1" applyAlignment="1">
      <alignment vertical="center" wrapText="1"/>
    </xf>
    <xf numFmtId="0" fontId="63" fillId="3" borderId="3" xfId="1" applyFont="1" applyFill="1" applyBorder="1" applyAlignment="1">
      <alignment horizontal="center" vertical="center"/>
    </xf>
    <xf numFmtId="4" fontId="63" fillId="3" borderId="3" xfId="1" applyNumberFormat="1" applyFont="1" applyFill="1" applyBorder="1" applyAlignment="1">
      <alignment horizontal="center" vertical="center"/>
    </xf>
    <xf numFmtId="4" fontId="63" fillId="3" borderId="13" xfId="1" applyNumberFormat="1" applyFont="1" applyFill="1" applyBorder="1" applyAlignment="1">
      <alignment horizontal="center" vertical="center"/>
    </xf>
    <xf numFmtId="1" fontId="49" fillId="0" borderId="27" xfId="0" applyNumberFormat="1" applyFont="1" applyFill="1" applyBorder="1" applyAlignment="1">
      <alignment horizontal="center" vertical="center"/>
    </xf>
    <xf numFmtId="0" fontId="64" fillId="0" borderId="6" xfId="1" applyNumberFormat="1" applyFont="1" applyFill="1" applyBorder="1" applyAlignment="1">
      <alignment horizontal="center" vertical="center"/>
    </xf>
    <xf numFmtId="0" fontId="64" fillId="0" borderId="8" xfId="1" applyNumberFormat="1" applyFont="1" applyFill="1" applyBorder="1" applyAlignment="1">
      <alignment horizontal="center" vertical="center"/>
    </xf>
    <xf numFmtId="0" fontId="47" fillId="0" borderId="7" xfId="1" applyFont="1" applyFill="1" applyBorder="1" applyAlignment="1">
      <alignment horizontal="right" vertical="center" wrapText="1"/>
    </xf>
    <xf numFmtId="0" fontId="49" fillId="0" borderId="3" xfId="1" applyFont="1" applyFill="1" applyBorder="1" applyAlignment="1">
      <alignment horizontal="center" vertical="center"/>
    </xf>
    <xf numFmtId="4" fontId="49" fillId="0" borderId="3" xfId="1" applyNumberFormat="1" applyFont="1" applyFill="1" applyBorder="1" applyAlignment="1">
      <alignment horizontal="center" vertical="center"/>
    </xf>
    <xf numFmtId="49" fontId="47" fillId="4" borderId="38" xfId="6" applyNumberFormat="1" applyFont="1" applyBorder="1" applyAlignment="1">
      <alignment horizontal="center" vertical="center"/>
    </xf>
    <xf numFmtId="4" fontId="49" fillId="0" borderId="8" xfId="1" applyNumberFormat="1" applyFont="1" applyFill="1" applyBorder="1" applyAlignment="1">
      <alignment horizontal="center" vertical="center"/>
    </xf>
    <xf numFmtId="1" fontId="47" fillId="0" borderId="27" xfId="0" applyNumberFormat="1" applyFont="1" applyFill="1" applyBorder="1" applyAlignment="1">
      <alignment horizontal="center" vertical="center"/>
    </xf>
    <xf numFmtId="0" fontId="47" fillId="0" borderId="6" xfId="1" applyFont="1" applyFill="1" applyBorder="1" applyAlignment="1">
      <alignment vertical="center"/>
    </xf>
    <xf numFmtId="0" fontId="47" fillId="0" borderId="8" xfId="1" applyNumberFormat="1" applyFont="1" applyFill="1" applyBorder="1" applyAlignment="1">
      <alignment vertical="center"/>
    </xf>
    <xf numFmtId="0" fontId="47" fillId="0" borderId="8" xfId="1" applyFont="1" applyFill="1" applyBorder="1" applyAlignment="1">
      <alignment vertical="center"/>
    </xf>
    <xf numFmtId="0" fontId="49" fillId="0" borderId="8" xfId="1" quotePrefix="1" applyFont="1" applyFill="1" applyBorder="1" applyAlignment="1">
      <alignment horizontal="center" vertical="center"/>
    </xf>
    <xf numFmtId="4" fontId="49" fillId="0" borderId="7" xfId="1" applyNumberFormat="1" applyFont="1" applyFill="1" applyBorder="1" applyAlignment="1">
      <alignment horizontal="center" vertical="center"/>
    </xf>
    <xf numFmtId="4" fontId="49" fillId="0" borderId="14" xfId="1" applyNumberFormat="1" applyFont="1" applyFill="1" applyBorder="1" applyAlignment="1">
      <alignment horizontal="center" vertical="center"/>
    </xf>
    <xf numFmtId="0" fontId="63" fillId="0" borderId="3" xfId="1" applyNumberFormat="1" applyFont="1" applyFill="1" applyBorder="1" applyAlignment="1">
      <alignment horizontal="center" vertical="center" wrapText="1"/>
    </xf>
    <xf numFmtId="1" fontId="63" fillId="0" borderId="27" xfId="0" applyNumberFormat="1" applyFont="1" applyFill="1" applyBorder="1" applyAlignment="1">
      <alignment horizontal="center" vertical="center"/>
    </xf>
    <xf numFmtId="0" fontId="63" fillId="0" borderId="3" xfId="1" applyFont="1" applyFill="1" applyBorder="1" applyAlignment="1">
      <alignment vertical="center" wrapText="1"/>
    </xf>
    <xf numFmtId="0" fontId="63" fillId="0" borderId="3" xfId="1" applyFont="1" applyFill="1" applyBorder="1" applyAlignment="1">
      <alignment horizontal="center" vertical="center"/>
    </xf>
    <xf numFmtId="4" fontId="63" fillId="0" borderId="3" xfId="1" applyNumberFormat="1" applyFont="1" applyFill="1" applyBorder="1" applyAlignment="1">
      <alignment horizontal="center" vertical="center"/>
    </xf>
    <xf numFmtId="4" fontId="63" fillId="0" borderId="13" xfId="1" applyNumberFormat="1" applyFont="1" applyFill="1" applyBorder="1" applyAlignment="1">
      <alignment horizontal="center" vertical="center"/>
    </xf>
    <xf numFmtId="0" fontId="63" fillId="0" borderId="8" xfId="1" applyFont="1" applyFill="1" applyBorder="1" applyAlignment="1">
      <alignment vertical="center" wrapText="1"/>
    </xf>
    <xf numFmtId="1" fontId="49" fillId="0" borderId="26" xfId="0" applyNumberFormat="1" applyFont="1" applyFill="1" applyBorder="1" applyAlignment="1">
      <alignment horizontal="center" vertical="center"/>
    </xf>
    <xf numFmtId="0" fontId="49" fillId="0" borderId="4" xfId="1" applyNumberFormat="1" applyFont="1" applyFill="1" applyBorder="1" applyAlignment="1">
      <alignment horizontal="center" vertical="center"/>
    </xf>
    <xf numFmtId="0" fontId="49" fillId="0" borderId="5" xfId="1" applyNumberFormat="1" applyFont="1" applyFill="1" applyBorder="1" applyAlignment="1">
      <alignment horizontal="center" vertical="center"/>
    </xf>
    <xf numFmtId="0" fontId="47" fillId="0" borderId="48" xfId="1" applyFont="1" applyFill="1" applyBorder="1" applyAlignment="1">
      <alignment horizontal="right" vertical="center" wrapText="1"/>
    </xf>
    <xf numFmtId="0" fontId="49" fillId="0" borderId="32" xfId="1" applyFont="1" applyFill="1" applyBorder="1" applyAlignment="1">
      <alignment horizontal="center" vertical="center"/>
    </xf>
    <xf numFmtId="4" fontId="49" fillId="0" borderId="32" xfId="1" applyNumberFormat="1" applyFont="1" applyFill="1" applyBorder="1" applyAlignment="1">
      <alignment horizontal="center" vertical="center"/>
    </xf>
    <xf numFmtId="49" fontId="47" fillId="4" borderId="27" xfId="6" applyNumberFormat="1" applyFont="1" applyBorder="1" applyAlignment="1">
      <alignment horizontal="center" vertical="center"/>
    </xf>
    <xf numFmtId="0" fontId="47" fillId="4" borderId="8" xfId="6" quotePrefix="1" applyFont="1" applyBorder="1" applyAlignment="1">
      <alignment horizontal="center"/>
    </xf>
    <xf numFmtId="0" fontId="47" fillId="4" borderId="8" xfId="6" applyFont="1" applyBorder="1" applyAlignment="1">
      <alignment horizontal="center"/>
    </xf>
    <xf numFmtId="0" fontId="47" fillId="4" borderId="14" xfId="6" applyFont="1" applyBorder="1" applyAlignment="1">
      <alignment horizontal="center"/>
    </xf>
    <xf numFmtId="1" fontId="63" fillId="0" borderId="26" xfId="0" applyNumberFormat="1" applyFont="1" applyFill="1" applyBorder="1" applyAlignment="1">
      <alignment horizontal="center" vertical="center"/>
    </xf>
    <xf numFmtId="0" fontId="63" fillId="0" borderId="32" xfId="1" applyNumberFormat="1" applyFont="1" applyFill="1" applyBorder="1" applyAlignment="1">
      <alignment horizontal="center" vertical="center"/>
    </xf>
    <xf numFmtId="0" fontId="63" fillId="0" borderId="32" xfId="1" applyFont="1" applyFill="1" applyBorder="1" applyAlignment="1">
      <alignment vertical="center" wrapText="1"/>
    </xf>
    <xf numFmtId="0" fontId="63" fillId="0" borderId="32" xfId="1" applyFont="1" applyFill="1" applyBorder="1" applyAlignment="1">
      <alignment horizontal="center" vertical="center"/>
    </xf>
    <xf numFmtId="4" fontId="63" fillId="0" borderId="32" xfId="1" applyNumberFormat="1" applyFont="1" applyFill="1" applyBorder="1" applyAlignment="1">
      <alignment horizontal="center" vertical="center"/>
    </xf>
    <xf numFmtId="4" fontId="63" fillId="0" borderId="33" xfId="1" applyNumberFormat="1" applyFont="1" applyFill="1" applyBorder="1" applyAlignment="1">
      <alignment horizontal="center" vertical="center"/>
    </xf>
    <xf numFmtId="4" fontId="63" fillId="0" borderId="6" xfId="1" applyNumberFormat="1" applyFont="1" applyFill="1" applyBorder="1" applyAlignment="1">
      <alignment horizontal="center" vertical="center"/>
    </xf>
    <xf numFmtId="0" fontId="63" fillId="0" borderId="30" xfId="1" applyNumberFormat="1" applyFont="1" applyFill="1" applyBorder="1" applyAlignment="1">
      <alignment horizontal="center" vertical="center"/>
    </xf>
    <xf numFmtId="0" fontId="63" fillId="0" borderId="30" xfId="1" applyFont="1" applyFill="1" applyBorder="1" applyAlignment="1">
      <alignment vertical="center" wrapText="1"/>
    </xf>
    <xf numFmtId="0" fontId="63" fillId="0" borderId="30" xfId="1" applyFont="1" applyFill="1" applyBorder="1" applyAlignment="1">
      <alignment horizontal="center" vertical="center"/>
    </xf>
    <xf numFmtId="4" fontId="63" fillId="0" borderId="30" xfId="1" applyNumberFormat="1" applyFont="1" applyFill="1" applyBorder="1" applyAlignment="1">
      <alignment horizontal="center" vertical="center"/>
    </xf>
    <xf numFmtId="4" fontId="63" fillId="0" borderId="31" xfId="1" applyNumberFormat="1" applyFont="1" applyFill="1" applyBorder="1" applyAlignment="1">
      <alignment horizontal="center" vertical="center"/>
    </xf>
    <xf numFmtId="0" fontId="49" fillId="0" borderId="6" xfId="1" applyNumberFormat="1" applyFont="1" applyFill="1" applyBorder="1" applyAlignment="1">
      <alignment horizontal="center" vertical="center"/>
    </xf>
    <xf numFmtId="0" fontId="49" fillId="0" borderId="8" xfId="1" applyNumberFormat="1" applyFont="1" applyFill="1" applyBorder="1" applyAlignment="1">
      <alignment horizontal="center" vertical="center"/>
    </xf>
    <xf numFmtId="0" fontId="47" fillId="4" borderId="6" xfId="6" applyFont="1" applyBorder="1" applyAlignment="1">
      <alignment vertical="center"/>
    </xf>
    <xf numFmtId="0" fontId="47" fillId="4" borderId="8" xfId="6" applyNumberFormat="1" applyFont="1" applyBorder="1" applyAlignment="1">
      <alignment vertical="center"/>
    </xf>
    <xf numFmtId="0" fontId="47" fillId="4" borderId="35" xfId="6" applyFont="1" applyBorder="1" applyAlignment="1">
      <alignment vertical="center"/>
    </xf>
    <xf numFmtId="0" fontId="65" fillId="0" borderId="3" xfId="0" applyFont="1" applyBorder="1" applyAlignment="1">
      <alignment vertical="center"/>
    </xf>
    <xf numFmtId="0" fontId="65" fillId="0" borderId="3" xfId="0" applyFont="1" applyFill="1" applyBorder="1" applyAlignment="1">
      <alignment vertical="center"/>
    </xf>
    <xf numFmtId="4" fontId="49" fillId="3" borderId="6" xfId="1" applyNumberFormat="1" applyFont="1" applyFill="1" applyBorder="1" applyAlignment="1">
      <alignment horizontal="center" vertical="center"/>
    </xf>
    <xf numFmtId="0" fontId="63" fillId="0" borderId="6" xfId="1" applyNumberFormat="1" applyFont="1" applyFill="1" applyBorder="1" applyAlignment="1">
      <alignment horizontal="center" vertical="center" wrapText="1"/>
    </xf>
    <xf numFmtId="0" fontId="63" fillId="0" borderId="7" xfId="1" applyFont="1" applyFill="1" applyBorder="1" applyAlignment="1">
      <alignment horizontal="center" vertical="center"/>
    </xf>
    <xf numFmtId="4" fontId="63" fillId="0" borderId="14" xfId="1" applyNumberFormat="1" applyFont="1" applyFill="1" applyBorder="1" applyAlignment="1">
      <alignment horizontal="center" vertical="center"/>
    </xf>
    <xf numFmtId="0" fontId="63" fillId="0" borderId="6" xfId="1" applyNumberFormat="1" applyFont="1" applyFill="1" applyBorder="1" applyAlignment="1">
      <alignment horizontal="center" vertical="center"/>
    </xf>
    <xf numFmtId="0" fontId="65" fillId="0" borderId="113" xfId="0" applyFont="1" applyFill="1" applyBorder="1" applyAlignment="1">
      <alignment vertical="center"/>
    </xf>
    <xf numFmtId="4" fontId="49" fillId="0" borderId="6" xfId="1" applyNumberFormat="1" applyFont="1" applyFill="1" applyBorder="1" applyAlignment="1">
      <alignment horizontal="center" vertical="center"/>
    </xf>
    <xf numFmtId="49" fontId="47" fillId="0" borderId="27" xfId="6" applyNumberFormat="1" applyFont="1" applyFill="1" applyBorder="1" applyAlignment="1">
      <alignment horizontal="center" vertical="center"/>
    </xf>
    <xf numFmtId="0" fontId="47" fillId="0" borderId="6" xfId="6" applyFont="1" applyFill="1" applyBorder="1" applyAlignment="1">
      <alignment vertical="center"/>
    </xf>
    <xf numFmtId="0" fontId="47" fillId="0" borderId="8" xfId="6" applyNumberFormat="1" applyFont="1" applyFill="1" applyBorder="1" applyAlignment="1">
      <alignment vertical="center"/>
    </xf>
    <xf numFmtId="0" fontId="47" fillId="0" borderId="35" xfId="6" applyFont="1" applyFill="1" applyBorder="1" applyAlignment="1">
      <alignment vertical="center"/>
    </xf>
    <xf numFmtId="0" fontId="47" fillId="0" borderId="8" xfId="6" quotePrefix="1" applyFont="1" applyFill="1" applyBorder="1" applyAlignment="1">
      <alignment horizontal="center"/>
    </xf>
    <xf numFmtId="0" fontId="47" fillId="0" borderId="8" xfId="6" applyFont="1" applyFill="1" applyBorder="1" applyAlignment="1">
      <alignment horizontal="center"/>
    </xf>
    <xf numFmtId="0" fontId="47" fillId="0" borderId="14" xfId="6" applyFont="1" applyFill="1" applyBorder="1" applyAlignment="1">
      <alignment horizontal="center"/>
    </xf>
    <xf numFmtId="0" fontId="63" fillId="3" borderId="6" xfId="1" applyNumberFormat="1" applyFont="1" applyFill="1" applyBorder="1" applyAlignment="1">
      <alignment horizontal="center" vertical="center"/>
    </xf>
    <xf numFmtId="0" fontId="63" fillId="3" borderId="7" xfId="1" applyFont="1" applyFill="1" applyBorder="1" applyAlignment="1">
      <alignment horizontal="center" vertical="center"/>
    </xf>
    <xf numFmtId="4" fontId="63" fillId="3" borderId="6" xfId="1" applyNumberFormat="1" applyFont="1" applyFill="1" applyBorder="1" applyAlignment="1">
      <alignment horizontal="center" vertical="center"/>
    </xf>
    <xf numFmtId="4" fontId="63" fillId="3" borderId="14" xfId="1" applyNumberFormat="1" applyFont="1" applyFill="1" applyBorder="1" applyAlignment="1">
      <alignment horizontal="center" vertical="center"/>
    </xf>
    <xf numFmtId="1" fontId="49" fillId="3" borderId="45" xfId="0" applyNumberFormat="1" applyFont="1" applyFill="1" applyBorder="1" applyAlignment="1">
      <alignment horizontal="center" vertical="center"/>
    </xf>
    <xf numFmtId="0" fontId="49" fillId="3" borderId="47" xfId="1" applyNumberFormat="1" applyFont="1" applyFill="1" applyBorder="1" applyAlignment="1">
      <alignment horizontal="center" vertical="center"/>
    </xf>
    <xf numFmtId="0" fontId="49" fillId="3" borderId="46" xfId="1" applyNumberFormat="1" applyFont="1" applyFill="1" applyBorder="1" applyAlignment="1">
      <alignment horizontal="center" vertical="center"/>
    </xf>
    <xf numFmtId="0" fontId="47" fillId="3" borderId="46" xfId="1" applyFont="1" applyFill="1" applyBorder="1" applyAlignment="1">
      <alignment horizontal="right" vertical="center" wrapText="1"/>
    </xf>
    <xf numFmtId="0" fontId="49" fillId="3" borderId="40" xfId="1" quotePrefix="1" applyFont="1" applyFill="1" applyBorder="1" applyAlignment="1">
      <alignment horizontal="center" vertical="center"/>
    </xf>
    <xf numFmtId="4" fontId="49" fillId="3" borderId="40" xfId="1" applyNumberFormat="1" applyFont="1" applyFill="1" applyBorder="1" applyAlignment="1">
      <alignment horizontal="center" vertical="center"/>
    </xf>
    <xf numFmtId="1" fontId="49" fillId="3" borderId="0" xfId="0" applyNumberFormat="1" applyFont="1" applyFill="1" applyBorder="1" applyAlignment="1">
      <alignment horizontal="center" vertical="center"/>
    </xf>
    <xf numFmtId="0" fontId="49" fillId="3" borderId="0" xfId="0" applyNumberFormat="1" applyFont="1" applyFill="1" applyBorder="1" applyAlignment="1">
      <alignment horizontal="center" vertical="center"/>
    </xf>
    <xf numFmtId="0" fontId="63" fillId="3" borderId="0" xfId="0" applyNumberFormat="1" applyFont="1" applyFill="1" applyBorder="1" applyAlignment="1">
      <alignment horizontal="center" vertical="center"/>
    </xf>
    <xf numFmtId="0" fontId="63" fillId="3" borderId="0" xfId="0" applyFont="1" applyFill="1" applyBorder="1"/>
    <xf numFmtId="0" fontId="63" fillId="3" borderId="0" xfId="0" applyFont="1" applyFill="1" applyBorder="1" applyAlignment="1">
      <alignment horizontal="center"/>
    </xf>
    <xf numFmtId="0" fontId="63" fillId="3" borderId="0" xfId="0" applyFont="1" applyFill="1" applyBorder="1" applyAlignment="1">
      <alignment horizontal="center" vertical="center"/>
    </xf>
    <xf numFmtId="4" fontId="63" fillId="3" borderId="0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44" fontId="63" fillId="3" borderId="0" xfId="4" applyFont="1" applyFill="1" applyBorder="1"/>
    <xf numFmtId="10" fontId="11" fillId="3" borderId="53" xfId="5" applyNumberFormat="1" applyFont="1" applyFill="1" applyBorder="1" applyAlignment="1">
      <alignment horizontal="center" vertical="center"/>
    </xf>
    <xf numFmtId="1" fontId="62" fillId="3" borderId="60" xfId="0" applyNumberFormat="1" applyFont="1" applyFill="1" applyBorder="1" applyAlignment="1">
      <alignment horizontal="left" vertical="center"/>
    </xf>
    <xf numFmtId="0" fontId="64" fillId="3" borderId="0" xfId="0" applyNumberFormat="1" applyFont="1" applyFill="1" applyBorder="1" applyAlignment="1">
      <alignment horizontal="left" vertical="center"/>
    </xf>
    <xf numFmtId="0" fontId="66" fillId="3" borderId="0" xfId="0" applyNumberFormat="1" applyFont="1" applyFill="1" applyBorder="1" applyAlignment="1">
      <alignment horizontal="left" vertical="center"/>
    </xf>
    <xf numFmtId="44" fontId="66" fillId="3" borderId="0" xfId="4" applyFont="1" applyFill="1" applyBorder="1" applyAlignment="1">
      <alignment horizontal="left"/>
    </xf>
    <xf numFmtId="0" fontId="67" fillId="3" borderId="0" xfId="0" applyFont="1" applyFill="1" applyBorder="1" applyAlignment="1">
      <alignment horizontal="left" vertical="center"/>
    </xf>
    <xf numFmtId="10" fontId="67" fillId="3" borderId="60" xfId="5" applyNumberFormat="1" applyFont="1" applyFill="1" applyBorder="1" applyAlignment="1">
      <alignment horizontal="left" vertical="center"/>
    </xf>
    <xf numFmtId="4" fontId="47" fillId="0" borderId="13" xfId="1" applyNumberFormat="1" applyFont="1" applyFill="1" applyBorder="1" applyAlignment="1">
      <alignment horizontal="center" vertical="center"/>
    </xf>
    <xf numFmtId="4" fontId="47" fillId="0" borderId="33" xfId="1" applyNumberFormat="1" applyFont="1" applyFill="1" applyBorder="1" applyAlignment="1">
      <alignment horizontal="center" vertical="center"/>
    </xf>
    <xf numFmtId="4" fontId="47" fillId="0" borderId="41" xfId="1" applyNumberFormat="1" applyFont="1" applyFill="1" applyBorder="1" applyAlignment="1">
      <alignment horizontal="center" vertical="center"/>
    </xf>
    <xf numFmtId="171" fontId="11" fillId="0" borderId="53" xfId="0" applyNumberFormat="1" applyFont="1" applyFill="1" applyBorder="1" applyAlignment="1">
      <alignment horizontal="center" vertical="center"/>
    </xf>
    <xf numFmtId="44" fontId="7" fillId="0" borderId="0" xfId="4" applyFont="1" applyBorder="1" applyAlignment="1">
      <alignment horizontal="center" vertical="center"/>
    </xf>
    <xf numFmtId="10" fontId="0" fillId="0" borderId="0" xfId="5" applyNumberFormat="1" applyFont="1"/>
    <xf numFmtId="4" fontId="17" fillId="4" borderId="0" xfId="6" applyNumberFormat="1" applyFont="1" applyBorder="1" applyAlignment="1">
      <alignment horizontal="center"/>
    </xf>
    <xf numFmtId="4" fontId="47" fillId="4" borderId="14" xfId="6" applyNumberFormat="1" applyFont="1" applyBorder="1" applyAlignment="1">
      <alignment horizontal="center"/>
    </xf>
    <xf numFmtId="0" fontId="26" fillId="22" borderId="0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7" fillId="0" borderId="35" xfId="1" applyFont="1" applyFill="1" applyBorder="1" applyAlignment="1">
      <alignment horizontal="right" vertical="center" wrapText="1"/>
    </xf>
    <xf numFmtId="0" fontId="49" fillId="0" borderId="8" xfId="1" applyFont="1" applyFill="1" applyBorder="1" applyAlignment="1">
      <alignment horizontal="center" vertical="center"/>
    </xf>
    <xf numFmtId="4" fontId="47" fillId="0" borderId="14" xfId="1" applyNumberFormat="1" applyFont="1" applyFill="1" applyBorder="1" applyAlignment="1">
      <alignment horizontal="center" vertical="center"/>
    </xf>
    <xf numFmtId="0" fontId="17" fillId="4" borderId="0" xfId="6" applyFont="1" applyBorder="1" applyAlignment="1">
      <alignment vertical="center"/>
    </xf>
    <xf numFmtId="0" fontId="65" fillId="0" borderId="3" xfId="0" applyFont="1" applyFill="1" applyBorder="1" applyAlignment="1">
      <alignment vertical="center" wrapText="1"/>
    </xf>
    <xf numFmtId="4" fontId="32" fillId="3" borderId="0" xfId="0" applyNumberFormat="1" applyFont="1" applyFill="1" applyBorder="1" applyAlignment="1">
      <alignment horizontal="center" vertical="center"/>
    </xf>
    <xf numFmtId="49" fontId="32" fillId="3" borderId="0" xfId="0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0" fillId="0" borderId="0" xfId="0" applyBorder="1"/>
    <xf numFmtId="0" fontId="32" fillId="0" borderId="0" xfId="0" applyFont="1" applyBorder="1"/>
    <xf numFmtId="0" fontId="41" fillId="0" borderId="0" xfId="0" applyNumberFormat="1" applyFont="1" applyBorder="1" applyAlignment="1">
      <alignment horizontal="center" vertical="center"/>
    </xf>
    <xf numFmtId="0" fontId="21" fillId="0" borderId="53" xfId="0" applyFont="1" applyFill="1" applyBorder="1" applyAlignment="1">
      <alignment horizontal="center" vertical="center"/>
    </xf>
    <xf numFmtId="0" fontId="54" fillId="0" borderId="59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left" vertical="center"/>
    </xf>
    <xf numFmtId="0" fontId="21" fillId="22" borderId="0" xfId="0" applyFont="1" applyFill="1" applyBorder="1" applyAlignment="1">
      <alignment vertical="center"/>
    </xf>
    <xf numFmtId="2" fontId="21" fillId="2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32" fillId="0" borderId="0" xfId="0" applyFont="1" applyBorder="1" applyAlignment="1">
      <alignment horizontal="center"/>
    </xf>
    <xf numFmtId="4" fontId="15" fillId="21" borderId="115" xfId="1" applyNumberFormat="1" applyFont="1" applyFill="1" applyBorder="1" applyAlignment="1">
      <alignment horizontal="center" vertical="center"/>
    </xf>
    <xf numFmtId="49" fontId="2" fillId="21" borderId="115" xfId="1" quotePrefix="1" applyNumberFormat="1" applyFont="1" applyFill="1" applyBorder="1" applyAlignment="1">
      <alignment horizontal="center" vertical="center"/>
    </xf>
    <xf numFmtId="0" fontId="8" fillId="21" borderId="115" xfId="0" applyFont="1" applyFill="1" applyBorder="1"/>
    <xf numFmtId="0" fontId="2" fillId="21" borderId="115" xfId="1" applyNumberFormat="1" applyFont="1" applyFill="1" applyBorder="1" applyAlignment="1">
      <alignment horizontal="center" vertical="center"/>
    </xf>
    <xf numFmtId="166" fontId="8" fillId="21" borderId="116" xfId="0" applyNumberFormat="1" applyFont="1" applyFill="1" applyBorder="1" applyAlignment="1">
      <alignment horizontal="center" vertical="center"/>
    </xf>
    <xf numFmtId="166" fontId="8" fillId="21" borderId="118" xfId="0" applyNumberFormat="1" applyFont="1" applyFill="1" applyBorder="1" applyAlignment="1">
      <alignment horizontal="center" vertical="center"/>
    </xf>
    <xf numFmtId="0" fontId="7" fillId="0" borderId="53" xfId="0" applyNumberFormat="1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49" fontId="18" fillId="3" borderId="53" xfId="0" applyNumberFormat="1" applyFont="1" applyFill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2" fontId="18" fillId="0" borderId="53" xfId="0" applyNumberFormat="1" applyFont="1" applyBorder="1" applyAlignment="1">
      <alignment horizontal="center" vertical="center"/>
    </xf>
    <xf numFmtId="0" fontId="0" fillId="21" borderId="114" xfId="0" applyFill="1" applyBorder="1" applyAlignment="1">
      <alignment horizontal="center" vertical="center"/>
    </xf>
    <xf numFmtId="0" fontId="0" fillId="21" borderId="115" xfId="0" applyFill="1" applyBorder="1" applyAlignment="1">
      <alignment horizontal="left" vertical="center" wrapText="1"/>
    </xf>
    <xf numFmtId="4" fontId="2" fillId="21" borderId="115" xfId="1" applyNumberFormat="1" applyFont="1" applyFill="1" applyBorder="1" applyAlignment="1">
      <alignment horizontal="center" vertical="center"/>
    </xf>
    <xf numFmtId="0" fontId="0" fillId="21" borderId="117" xfId="0" applyFill="1" applyBorder="1" applyAlignment="1">
      <alignment horizontal="center" vertical="center"/>
    </xf>
    <xf numFmtId="0" fontId="0" fillId="21" borderId="3" xfId="0" applyFill="1" applyBorder="1" applyAlignment="1">
      <alignment horizontal="left" vertical="center" wrapText="1"/>
    </xf>
    <xf numFmtId="4" fontId="0" fillId="0" borderId="0" xfId="0" applyNumberFormat="1"/>
    <xf numFmtId="2" fontId="4" fillId="0" borderId="0" xfId="0" applyNumberFormat="1" applyFont="1"/>
    <xf numFmtId="0" fontId="47" fillId="0" borderId="8" xfId="6" applyFont="1" applyFill="1" applyBorder="1" applyAlignment="1">
      <alignment vertical="center"/>
    </xf>
    <xf numFmtId="4" fontId="47" fillId="0" borderId="14" xfId="6" applyNumberFormat="1" applyFont="1" applyFill="1" applyBorder="1" applyAlignment="1">
      <alignment horizontal="center"/>
    </xf>
    <xf numFmtId="0" fontId="26" fillId="22" borderId="16" xfId="0" applyFont="1" applyFill="1" applyBorder="1" applyAlignment="1">
      <alignment horizontal="center" vertical="center"/>
    </xf>
    <xf numFmtId="0" fontId="26" fillId="22" borderId="0" xfId="0" applyFont="1" applyFill="1" applyBorder="1" applyAlignment="1">
      <alignment horizontal="center" vertical="center"/>
    </xf>
    <xf numFmtId="0" fontId="18" fillId="0" borderId="92" xfId="0" applyFont="1" applyFill="1" applyBorder="1" applyAlignment="1">
      <alignment horizontal="center" vertical="center"/>
    </xf>
    <xf numFmtId="0" fontId="56" fillId="22" borderId="0" xfId="0" applyFont="1" applyFill="1" applyAlignment="1">
      <alignment horizontal="center" vertical="center"/>
    </xf>
    <xf numFmtId="0" fontId="65" fillId="0" borderId="53" xfId="0" applyFont="1" applyFill="1" applyBorder="1" applyAlignment="1">
      <alignment horizontal="center" vertical="center"/>
    </xf>
    <xf numFmtId="2" fontId="65" fillId="0" borderId="104" xfId="0" applyNumberFormat="1" applyFont="1" applyFill="1" applyBorder="1" applyAlignment="1">
      <alignment horizontal="center" vertical="center"/>
    </xf>
    <xf numFmtId="10" fontId="65" fillId="0" borderId="53" xfId="0" applyNumberFormat="1" applyFont="1" applyFill="1" applyBorder="1" applyAlignment="1">
      <alignment horizontal="center" vertical="center"/>
    </xf>
    <xf numFmtId="10" fontId="65" fillId="0" borderId="104" xfId="0" applyNumberFormat="1" applyFont="1" applyFill="1" applyBorder="1" applyAlignment="1">
      <alignment horizontal="center" vertical="center"/>
    </xf>
    <xf numFmtId="10" fontId="65" fillId="0" borderId="104" xfId="5" applyNumberFormat="1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2" fontId="65" fillId="0" borderId="53" xfId="0" applyNumberFormat="1" applyFont="1" applyFill="1" applyBorder="1" applyAlignment="1">
      <alignment horizontal="center" vertical="center"/>
    </xf>
    <xf numFmtId="0" fontId="65" fillId="0" borderId="104" xfId="0" applyFont="1" applyFill="1" applyBorder="1" applyAlignment="1">
      <alignment horizontal="center" vertical="center"/>
    </xf>
    <xf numFmtId="10" fontId="65" fillId="0" borderId="53" xfId="5" applyNumberFormat="1" applyFont="1" applyFill="1" applyBorder="1" applyAlignment="1">
      <alignment horizontal="center" vertical="center"/>
    </xf>
    <xf numFmtId="0" fontId="65" fillId="0" borderId="0" xfId="0" applyFont="1"/>
    <xf numFmtId="2" fontId="65" fillId="7" borderId="104" xfId="0" applyNumberFormat="1" applyFont="1" applyFill="1" applyBorder="1" applyAlignment="1">
      <alignment horizontal="center" vertical="center"/>
    </xf>
    <xf numFmtId="10" fontId="65" fillId="7" borderId="104" xfId="0" applyNumberFormat="1" applyFont="1" applyFill="1" applyBorder="1" applyAlignment="1">
      <alignment horizontal="center" vertical="center"/>
    </xf>
    <xf numFmtId="10" fontId="65" fillId="7" borderId="53" xfId="0" applyNumberFormat="1" applyFont="1" applyFill="1" applyBorder="1" applyAlignment="1">
      <alignment horizontal="center" vertical="center"/>
    </xf>
    <xf numFmtId="0" fontId="26" fillId="0" borderId="12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center" vertical="center"/>
    </xf>
    <xf numFmtId="2" fontId="26" fillId="0" borderId="5" xfId="0" applyNumberFormat="1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left" vertical="center" wrapText="1"/>
    </xf>
    <xf numFmtId="0" fontId="26" fillId="0" borderId="32" xfId="0" applyFont="1" applyFill="1" applyBorder="1" applyAlignment="1">
      <alignment horizontal="center" vertical="center"/>
    </xf>
    <xf numFmtId="2" fontId="26" fillId="0" borderId="32" xfId="0" applyNumberFormat="1" applyFont="1" applyFill="1" applyBorder="1" applyAlignment="1">
      <alignment horizontal="center" vertical="center"/>
    </xf>
    <xf numFmtId="2" fontId="26" fillId="0" borderId="122" xfId="0" applyNumberFormat="1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 wrapText="1"/>
    </xf>
    <xf numFmtId="0" fontId="26" fillId="0" borderId="123" xfId="0" applyFont="1" applyFill="1" applyBorder="1" applyAlignment="1">
      <alignment horizontal="center" vertical="center" wrapText="1"/>
    </xf>
    <xf numFmtId="0" fontId="26" fillId="0" borderId="124" xfId="0" applyFont="1" applyFill="1" applyBorder="1" applyAlignment="1">
      <alignment horizontal="center" vertical="center"/>
    </xf>
    <xf numFmtId="2" fontId="26" fillId="0" borderId="124" xfId="0" applyNumberFormat="1" applyFont="1" applyFill="1" applyBorder="1" applyAlignment="1">
      <alignment horizontal="center" vertical="center"/>
    </xf>
    <xf numFmtId="2" fontId="26" fillId="0" borderId="125" xfId="0" applyNumberFormat="1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2" fillId="7" borderId="97" xfId="0" applyFont="1" applyFill="1" applyBorder="1" applyAlignment="1">
      <alignment horizontal="center" vertical="center" wrapText="1"/>
    </xf>
    <xf numFmtId="0" fontId="12" fillId="7" borderId="98" xfId="0" applyFont="1" applyFill="1" applyBorder="1" applyAlignment="1">
      <alignment horizontal="center" vertical="center" wrapText="1"/>
    </xf>
    <xf numFmtId="10" fontId="12" fillId="7" borderId="98" xfId="5" applyNumberFormat="1" applyFont="1" applyFill="1" applyBorder="1" applyAlignment="1">
      <alignment horizontal="center" vertical="center" wrapText="1"/>
    </xf>
    <xf numFmtId="0" fontId="65" fillId="0" borderId="127" xfId="0" applyFont="1" applyFill="1" applyBorder="1" applyAlignment="1">
      <alignment horizontal="center" vertical="center"/>
    </xf>
    <xf numFmtId="2" fontId="65" fillId="0" borderId="128" xfId="0" applyNumberFormat="1" applyFont="1" applyFill="1" applyBorder="1" applyAlignment="1">
      <alignment horizontal="center" vertical="center"/>
    </xf>
    <xf numFmtId="0" fontId="65" fillId="0" borderId="128" xfId="0" applyFont="1" applyFill="1" applyBorder="1" applyAlignment="1">
      <alignment horizontal="center" vertical="center"/>
    </xf>
    <xf numFmtId="10" fontId="65" fillId="0" borderId="128" xfId="0" applyNumberFormat="1" applyFont="1" applyFill="1" applyBorder="1" applyAlignment="1">
      <alignment horizontal="center" vertical="center"/>
    </xf>
    <xf numFmtId="10" fontId="65" fillId="7" borderId="128" xfId="0" applyNumberFormat="1" applyFont="1" applyFill="1" applyBorder="1" applyAlignment="1">
      <alignment horizontal="center" vertical="center"/>
    </xf>
    <xf numFmtId="10" fontId="65" fillId="0" borderId="128" xfId="5" applyNumberFormat="1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 wrapText="1"/>
    </xf>
    <xf numFmtId="0" fontId="12" fillId="7" borderId="99" xfId="0" applyFont="1" applyFill="1" applyBorder="1" applyAlignment="1">
      <alignment horizontal="center" vertical="center" wrapText="1"/>
    </xf>
    <xf numFmtId="49" fontId="65" fillId="0" borderId="66" xfId="0" applyNumberFormat="1" applyFont="1" applyFill="1" applyBorder="1" applyAlignment="1">
      <alignment horizontal="center" vertical="center"/>
    </xf>
    <xf numFmtId="2" fontId="65" fillId="7" borderId="105" xfId="0" applyNumberFormat="1" applyFont="1" applyFill="1" applyBorder="1" applyAlignment="1">
      <alignment horizontal="center" vertical="center"/>
    </xf>
    <xf numFmtId="0" fontId="65" fillId="0" borderId="66" xfId="0" applyFont="1" applyFill="1" applyBorder="1" applyAlignment="1">
      <alignment horizontal="center" vertical="center" wrapText="1"/>
    </xf>
    <xf numFmtId="2" fontId="65" fillId="7" borderId="19" xfId="0" applyNumberFormat="1" applyFont="1" applyFill="1" applyBorder="1" applyAlignment="1">
      <alignment horizontal="center" vertical="center"/>
    </xf>
    <xf numFmtId="2" fontId="65" fillId="7" borderId="132" xfId="0" applyNumberFormat="1" applyFont="1" applyFill="1" applyBorder="1" applyAlignment="1">
      <alignment horizontal="center" vertical="center"/>
    </xf>
    <xf numFmtId="2" fontId="26" fillId="0" borderId="13" xfId="0" applyNumberFormat="1" applyFont="1" applyFill="1" applyBorder="1" applyAlignment="1">
      <alignment horizontal="center" vertical="center"/>
    </xf>
    <xf numFmtId="0" fontId="21" fillId="20" borderId="76" xfId="0" applyFont="1" applyFill="1" applyBorder="1" applyAlignment="1">
      <alignment vertical="center"/>
    </xf>
    <xf numFmtId="0" fontId="21" fillId="20" borderId="58" xfId="0" applyFont="1" applyFill="1" applyBorder="1" applyAlignment="1">
      <alignment vertical="center"/>
    </xf>
    <xf numFmtId="2" fontId="21" fillId="20" borderId="53" xfId="0" applyNumberFormat="1" applyFont="1" applyFill="1" applyBorder="1" applyAlignment="1">
      <alignment horizontal="center" vertical="center"/>
    </xf>
    <xf numFmtId="0" fontId="26" fillId="0" borderId="79" xfId="0" applyFont="1" applyFill="1" applyBorder="1" applyAlignment="1">
      <alignment horizontal="justify" vertical="center" wrapText="1"/>
    </xf>
    <xf numFmtId="0" fontId="21" fillId="10" borderId="76" xfId="0" applyFont="1" applyFill="1" applyBorder="1" applyAlignment="1">
      <alignment vertical="center"/>
    </xf>
    <xf numFmtId="0" fontId="21" fillId="10" borderId="58" xfId="0" applyFont="1" applyFill="1" applyBorder="1" applyAlignment="1">
      <alignment vertical="center"/>
    </xf>
    <xf numFmtId="2" fontId="21" fillId="10" borderId="53" xfId="0" applyNumberFormat="1" applyFont="1" applyFill="1" applyBorder="1" applyAlignment="1">
      <alignment horizontal="center" vertical="center"/>
    </xf>
    <xf numFmtId="49" fontId="65" fillId="0" borderId="129" xfId="0" applyNumberFormat="1" applyFont="1" applyFill="1" applyBorder="1" applyAlignment="1">
      <alignment horizontal="center" vertical="center"/>
    </xf>
    <xf numFmtId="0" fontId="65" fillId="0" borderId="130" xfId="0" applyFont="1" applyFill="1" applyBorder="1" applyAlignment="1">
      <alignment horizontal="center" vertical="center"/>
    </xf>
    <xf numFmtId="2" fontId="65" fillId="0" borderId="130" xfId="0" applyNumberFormat="1" applyFont="1" applyFill="1" applyBorder="1" applyAlignment="1">
      <alignment horizontal="center" vertical="center"/>
    </xf>
    <xf numFmtId="2" fontId="63" fillId="0" borderId="130" xfId="0" applyNumberFormat="1" applyFont="1" applyFill="1" applyBorder="1" applyAlignment="1">
      <alignment horizontal="center" vertical="center"/>
    </xf>
    <xf numFmtId="10" fontId="65" fillId="0" borderId="130" xfId="0" applyNumberFormat="1" applyFont="1" applyFill="1" applyBorder="1" applyAlignment="1">
      <alignment horizontal="center" vertical="center"/>
    </xf>
    <xf numFmtId="10" fontId="65" fillId="0" borderId="130" xfId="5" applyNumberFormat="1" applyFont="1" applyFill="1" applyBorder="1" applyAlignment="1">
      <alignment horizontal="center" vertical="center"/>
    </xf>
    <xf numFmtId="10" fontId="65" fillId="7" borderId="130" xfId="0" applyNumberFormat="1" applyFont="1" applyFill="1" applyBorder="1" applyAlignment="1">
      <alignment horizontal="center" vertical="center"/>
    </xf>
    <xf numFmtId="2" fontId="65" fillId="7" borderId="130" xfId="0" applyNumberFormat="1" applyFont="1" applyFill="1" applyBorder="1" applyAlignment="1">
      <alignment horizontal="center" vertical="center"/>
    </xf>
    <xf numFmtId="2" fontId="65" fillId="7" borderId="96" xfId="0" applyNumberFormat="1" applyFont="1" applyFill="1" applyBorder="1" applyAlignment="1">
      <alignment horizontal="center" vertical="center"/>
    </xf>
    <xf numFmtId="0" fontId="0" fillId="0" borderId="77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4" fontId="0" fillId="21" borderId="3" xfId="4" applyFont="1" applyFill="1" applyBorder="1" applyAlignment="1">
      <alignment horizontal="center" vertical="center"/>
    </xf>
    <xf numFmtId="1" fontId="11" fillId="0" borderId="94" xfId="0" applyNumberFormat="1" applyFont="1" applyBorder="1" applyAlignment="1">
      <alignment horizontal="center" vertical="center"/>
    </xf>
    <xf numFmtId="0" fontId="11" fillId="3" borderId="94" xfId="0" applyFont="1" applyFill="1" applyBorder="1" applyAlignment="1">
      <alignment horizontal="center" vertical="center"/>
    </xf>
    <xf numFmtId="44" fontId="11" fillId="3" borderId="94" xfId="4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49" fontId="18" fillId="3" borderId="12" xfId="0" applyNumberFormat="1" applyFont="1" applyFill="1" applyBorder="1" applyAlignment="1">
      <alignment horizontal="center" vertical="center"/>
    </xf>
    <xf numFmtId="0" fontId="65" fillId="0" borderId="12" xfId="0" applyFont="1" applyBorder="1"/>
    <xf numFmtId="44" fontId="18" fillId="3" borderId="94" xfId="4" applyFont="1" applyFill="1" applyBorder="1" applyAlignment="1">
      <alignment horizontal="center" vertical="center" wrapText="1"/>
    </xf>
    <xf numFmtId="0" fontId="18" fillId="3" borderId="94" xfId="0" applyNumberFormat="1" applyFont="1" applyFill="1" applyBorder="1" applyAlignment="1">
      <alignment horizontal="center" vertical="center"/>
    </xf>
    <xf numFmtId="2" fontId="65" fillId="0" borderId="53" xfId="0" applyNumberFormat="1" applyFont="1" applyBorder="1" applyAlignment="1">
      <alignment horizontal="center" vertical="center"/>
    </xf>
    <xf numFmtId="2" fontId="65" fillId="0" borderId="127" xfId="0" applyNumberFormat="1" applyFont="1" applyBorder="1" applyAlignment="1">
      <alignment horizontal="center" vertical="center"/>
    </xf>
    <xf numFmtId="49" fontId="65" fillId="0" borderId="66" xfId="0" applyNumberFormat="1" applyFont="1" applyFill="1" applyBorder="1" applyAlignment="1">
      <alignment horizontal="center" vertical="center" wrapText="1"/>
    </xf>
    <xf numFmtId="49" fontId="65" fillId="0" borderId="13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5" fillId="0" borderId="3" xfId="0" applyFont="1" applyBorder="1" applyAlignment="1">
      <alignment horizontal="justify" vertical="center" wrapText="1"/>
    </xf>
    <xf numFmtId="0" fontId="65" fillId="0" borderId="3" xfId="0" applyFont="1" applyFill="1" applyBorder="1" applyAlignment="1">
      <alignment horizontal="justify" vertical="center" wrapText="1"/>
    </xf>
    <xf numFmtId="0" fontId="0" fillId="9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9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8" fillId="21" borderId="133" xfId="5" applyNumberFormat="1" applyFont="1" applyFill="1" applyBorder="1" applyAlignment="1">
      <alignment horizontal="center" vertical="center"/>
    </xf>
    <xf numFmtId="0" fontId="0" fillId="23" borderId="117" xfId="0" applyFill="1" applyBorder="1" applyAlignment="1">
      <alignment horizontal="center" vertical="center"/>
    </xf>
    <xf numFmtId="0" fontId="0" fillId="23" borderId="3" xfId="0" applyFill="1" applyBorder="1" applyAlignment="1">
      <alignment horizontal="left" vertical="center" wrapText="1"/>
    </xf>
    <xf numFmtId="44" fontId="0" fillId="23" borderId="3" xfId="4" applyFont="1" applyFill="1" applyBorder="1" applyAlignment="1">
      <alignment horizontal="center" vertical="center"/>
    </xf>
    <xf numFmtId="4" fontId="2" fillId="23" borderId="3" xfId="1" applyNumberFormat="1" applyFont="1" applyFill="1" applyBorder="1" applyAlignment="1">
      <alignment horizontal="center" vertical="center"/>
    </xf>
    <xf numFmtId="4" fontId="15" fillId="23" borderId="3" xfId="1" applyNumberFormat="1" applyFont="1" applyFill="1" applyBorder="1" applyAlignment="1">
      <alignment horizontal="center" vertical="center"/>
    </xf>
    <xf numFmtId="49" fontId="2" fillId="23" borderId="3" xfId="1" quotePrefix="1" applyNumberFormat="1" applyFont="1" applyFill="1" applyBorder="1" applyAlignment="1">
      <alignment horizontal="center" vertical="center"/>
    </xf>
    <xf numFmtId="0" fontId="8" fillId="23" borderId="3" xfId="0" applyFont="1" applyFill="1" applyBorder="1"/>
    <xf numFmtId="165" fontId="8" fillId="23" borderId="3" xfId="5" applyNumberFormat="1" applyFont="1" applyFill="1" applyBorder="1" applyAlignment="1">
      <alignment horizontal="center" vertical="center"/>
    </xf>
    <xf numFmtId="0" fontId="2" fillId="23" borderId="3" xfId="1" applyNumberFormat="1" applyFont="1" applyFill="1" applyBorder="1" applyAlignment="1">
      <alignment horizontal="center" vertical="center"/>
    </xf>
    <xf numFmtId="166" fontId="8" fillId="23" borderId="118" xfId="0" applyNumberFormat="1" applyFont="1" applyFill="1" applyBorder="1" applyAlignment="1">
      <alignment horizontal="center" vertical="center"/>
    </xf>
    <xf numFmtId="0" fontId="0" fillId="23" borderId="3" xfId="0" applyFont="1" applyFill="1" applyBorder="1" applyAlignment="1">
      <alignment horizontal="center" vertical="center"/>
    </xf>
    <xf numFmtId="0" fontId="0" fillId="24" borderId="117" xfId="0" applyFill="1" applyBorder="1" applyAlignment="1">
      <alignment horizontal="center" vertical="center"/>
    </xf>
    <xf numFmtId="0" fontId="0" fillId="24" borderId="3" xfId="0" applyFill="1" applyBorder="1" applyAlignment="1">
      <alignment horizontal="left" vertical="center" wrapText="1"/>
    </xf>
    <xf numFmtId="44" fontId="0" fillId="24" borderId="3" xfId="4" applyFont="1" applyFill="1" applyBorder="1" applyAlignment="1">
      <alignment horizontal="center" vertical="center"/>
    </xf>
    <xf numFmtId="4" fontId="2" fillId="24" borderId="3" xfId="1" applyNumberFormat="1" applyFont="1" applyFill="1" applyBorder="1" applyAlignment="1">
      <alignment horizontal="center" vertical="center"/>
    </xf>
    <xf numFmtId="4" fontId="15" fillId="24" borderId="3" xfId="1" applyNumberFormat="1" applyFont="1" applyFill="1" applyBorder="1" applyAlignment="1">
      <alignment horizontal="center" vertical="center"/>
    </xf>
    <xf numFmtId="49" fontId="2" fillId="24" borderId="3" xfId="1" quotePrefix="1" applyNumberFormat="1" applyFont="1" applyFill="1" applyBorder="1" applyAlignment="1">
      <alignment horizontal="center" vertical="center"/>
    </xf>
    <xf numFmtId="0" fontId="8" fillId="24" borderId="3" xfId="0" applyFont="1" applyFill="1" applyBorder="1"/>
    <xf numFmtId="165" fontId="8" fillId="24" borderId="3" xfId="5" applyNumberFormat="1" applyFont="1" applyFill="1" applyBorder="1" applyAlignment="1">
      <alignment horizontal="center" vertical="center"/>
    </xf>
    <xf numFmtId="0" fontId="2" fillId="24" borderId="3" xfId="1" applyNumberFormat="1" applyFont="1" applyFill="1" applyBorder="1" applyAlignment="1">
      <alignment horizontal="center" vertical="center"/>
    </xf>
    <xf numFmtId="166" fontId="8" fillId="24" borderId="118" xfId="0" applyNumberFormat="1" applyFont="1" applyFill="1" applyBorder="1" applyAlignment="1">
      <alignment horizontal="center" vertical="center"/>
    </xf>
    <xf numFmtId="0" fontId="0" fillId="24" borderId="3" xfId="0" applyFont="1" applyFill="1" applyBorder="1" applyAlignment="1">
      <alignment horizontal="center" vertical="center"/>
    </xf>
    <xf numFmtId="49" fontId="2" fillId="24" borderId="3" xfId="1" applyNumberFormat="1" applyFont="1" applyFill="1" applyBorder="1" applyAlignment="1">
      <alignment horizontal="center" vertical="center"/>
    </xf>
    <xf numFmtId="10" fontId="18" fillId="23" borderId="3" xfId="5" applyNumberFormat="1" applyFont="1" applyFill="1" applyBorder="1" applyAlignment="1">
      <alignment horizontal="center" vertical="center"/>
    </xf>
    <xf numFmtId="49" fontId="2" fillId="23" borderId="3" xfId="1" applyNumberFormat="1" applyFont="1" applyFill="1" applyBorder="1" applyAlignment="1">
      <alignment horizontal="center" vertical="center" wrapText="1"/>
    </xf>
    <xf numFmtId="4" fontId="18" fillId="23" borderId="3" xfId="0" applyNumberFormat="1" applyFont="1" applyFill="1" applyBorder="1" applyAlignment="1">
      <alignment horizontal="center" vertical="center"/>
    </xf>
    <xf numFmtId="2" fontId="8" fillId="23" borderId="3" xfId="0" applyNumberFormat="1" applyFont="1" applyFill="1" applyBorder="1"/>
    <xf numFmtId="0" fontId="4" fillId="23" borderId="3" xfId="0" applyFont="1" applyFill="1" applyBorder="1" applyAlignment="1">
      <alignment horizontal="center" vertical="center"/>
    </xf>
    <xf numFmtId="49" fontId="4" fillId="23" borderId="3" xfId="0" applyNumberFormat="1" applyFont="1" applyFill="1" applyBorder="1" applyAlignment="1">
      <alignment horizontal="center" vertical="center"/>
    </xf>
    <xf numFmtId="0" fontId="4" fillId="23" borderId="3" xfId="0" applyFont="1" applyFill="1" applyBorder="1"/>
    <xf numFmtId="0" fontId="60" fillId="23" borderId="3" xfId="0" applyNumberFormat="1" applyFont="1" applyFill="1" applyBorder="1" applyAlignment="1">
      <alignment horizontal="center" vertical="center"/>
    </xf>
    <xf numFmtId="0" fontId="0" fillId="23" borderId="3" xfId="0" applyFill="1" applyBorder="1" applyAlignment="1">
      <alignment horizontal="center" vertical="center"/>
    </xf>
    <xf numFmtId="49" fontId="0" fillId="23" borderId="3" xfId="0" applyNumberFormat="1" applyFont="1" applyFill="1" applyBorder="1" applyAlignment="1">
      <alignment horizontal="center" vertical="center"/>
    </xf>
    <xf numFmtId="0" fontId="0" fillId="23" borderId="3" xfId="0" applyFill="1" applyBorder="1"/>
    <xf numFmtId="0" fontId="7" fillId="23" borderId="3" xfId="0" applyNumberFormat="1" applyFont="1" applyFill="1" applyBorder="1" applyAlignment="1">
      <alignment horizontal="center" vertical="center"/>
    </xf>
    <xf numFmtId="0" fontId="0" fillId="23" borderId="119" xfId="0" applyFill="1" applyBorder="1" applyAlignment="1">
      <alignment horizontal="center" vertical="center"/>
    </xf>
    <xf numFmtId="0" fontId="0" fillId="23" borderId="30" xfId="0" applyFill="1" applyBorder="1" applyAlignment="1">
      <alignment horizontal="left" vertical="center" wrapText="1"/>
    </xf>
    <xf numFmtId="4" fontId="2" fillId="23" borderId="30" xfId="1" applyNumberFormat="1" applyFont="1" applyFill="1" applyBorder="1" applyAlignment="1">
      <alignment horizontal="center" vertical="center"/>
    </xf>
    <xf numFmtId="0" fontId="0" fillId="23" borderId="30" xfId="0" applyFill="1" applyBorder="1" applyAlignment="1">
      <alignment horizontal="center" vertical="center"/>
    </xf>
    <xf numFmtId="49" fontId="0" fillId="23" borderId="30" xfId="0" applyNumberFormat="1" applyFont="1" applyFill="1" applyBorder="1" applyAlignment="1">
      <alignment horizontal="center" vertical="center"/>
    </xf>
    <xf numFmtId="0" fontId="0" fillId="23" borderId="30" xfId="0" applyFill="1" applyBorder="1"/>
    <xf numFmtId="165" fontId="8" fillId="23" borderId="32" xfId="5" applyNumberFormat="1" applyFont="1" applyFill="1" applyBorder="1" applyAlignment="1">
      <alignment horizontal="center" vertical="center"/>
    </xf>
    <xf numFmtId="0" fontId="7" fillId="23" borderId="30" xfId="0" applyNumberFormat="1" applyFont="1" applyFill="1" applyBorder="1" applyAlignment="1">
      <alignment horizontal="center" vertical="center"/>
    </xf>
    <xf numFmtId="166" fontId="8" fillId="23" borderId="120" xfId="0" applyNumberFormat="1" applyFont="1" applyFill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wrapText="1"/>
    </xf>
    <xf numFmtId="168" fontId="18" fillId="0" borderId="53" xfId="4" applyNumberFormat="1" applyFont="1" applyFill="1" applyBorder="1" applyAlignment="1">
      <alignment horizontal="center" vertical="center"/>
    </xf>
    <xf numFmtId="44" fontId="0" fillId="0" borderId="0" xfId="4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2" fontId="4" fillId="0" borderId="58" xfId="0" applyNumberFormat="1" applyFont="1" applyFill="1" applyBorder="1"/>
    <xf numFmtId="0" fontId="4" fillId="0" borderId="77" xfId="0" applyFont="1" applyFill="1" applyBorder="1"/>
    <xf numFmtId="0" fontId="0" fillId="0" borderId="53" xfId="0" applyFill="1" applyBorder="1"/>
    <xf numFmtId="0" fontId="0" fillId="0" borderId="53" xfId="0" applyFill="1" applyBorder="1" applyAlignment="1">
      <alignment horizontal="center" vertical="center"/>
    </xf>
    <xf numFmtId="0" fontId="0" fillId="0" borderId="77" xfId="0" applyFill="1" applyBorder="1"/>
    <xf numFmtId="0" fontId="4" fillId="0" borderId="53" xfId="0" applyFont="1" applyFill="1" applyBorder="1"/>
    <xf numFmtId="0" fontId="0" fillId="0" borderId="58" xfId="0" applyFill="1" applyBorder="1"/>
    <xf numFmtId="0" fontId="0" fillId="0" borderId="53" xfId="0" applyFill="1" applyBorder="1" applyAlignment="1">
      <alignment horizontal="center"/>
    </xf>
    <xf numFmtId="0" fontId="0" fillId="0" borderId="90" xfId="0" applyFill="1" applyBorder="1"/>
    <xf numFmtId="0" fontId="0" fillId="0" borderId="103" xfId="0" applyFill="1" applyBorder="1"/>
    <xf numFmtId="2" fontId="0" fillId="0" borderId="0" xfId="0" applyNumberFormat="1" applyFill="1" applyBorder="1"/>
    <xf numFmtId="0" fontId="0" fillId="0" borderId="2" xfId="0" applyFill="1" applyBorder="1"/>
    <xf numFmtId="0" fontId="0" fillId="0" borderId="104" xfId="0" applyFill="1" applyBorder="1"/>
    <xf numFmtId="0" fontId="0" fillId="0" borderId="60" xfId="0" applyFill="1" applyBorder="1"/>
    <xf numFmtId="0" fontId="0" fillId="0" borderId="93" xfId="0" applyFill="1" applyBorder="1"/>
    <xf numFmtId="0" fontId="0" fillId="0" borderId="76" xfId="0" applyFill="1" applyBorder="1"/>
    <xf numFmtId="0" fontId="0" fillId="0" borderId="134" xfId="0" applyFill="1" applyBorder="1"/>
    <xf numFmtId="0" fontId="0" fillId="0" borderId="8" xfId="0" applyFill="1" applyBorder="1" applyAlignment="1">
      <alignment horizontal="center" vertical="center"/>
    </xf>
    <xf numFmtId="0" fontId="0" fillId="0" borderId="135" xfId="0" applyFill="1" applyBorder="1" applyAlignment="1">
      <alignment horizontal="center" vertical="center"/>
    </xf>
    <xf numFmtId="0" fontId="0" fillId="0" borderId="134" xfId="0" applyFill="1" applyBorder="1" applyAlignment="1">
      <alignment horizontal="left" vertical="center"/>
    </xf>
    <xf numFmtId="10" fontId="0" fillId="0" borderId="8" xfId="5" applyNumberFormat="1" applyFon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right" vertical="center"/>
    </xf>
    <xf numFmtId="2" fontId="0" fillId="0" borderId="135" xfId="0" applyNumberFormat="1" applyFill="1" applyBorder="1" applyAlignment="1">
      <alignment horizontal="left" vertical="center"/>
    </xf>
    <xf numFmtId="2" fontId="4" fillId="0" borderId="8" xfId="0" applyNumberFormat="1" applyFont="1" applyFill="1" applyBorder="1" applyAlignment="1">
      <alignment horizontal="right" vertical="center"/>
    </xf>
    <xf numFmtId="0" fontId="4" fillId="0" borderId="135" xfId="0" applyFont="1" applyFill="1" applyBorder="1" applyAlignment="1">
      <alignment horizontal="left" vertical="center"/>
    </xf>
    <xf numFmtId="0" fontId="0" fillId="0" borderId="136" xfId="0" applyFill="1" applyBorder="1" applyAlignment="1">
      <alignment horizontal="left" vertical="center"/>
    </xf>
    <xf numFmtId="0" fontId="0" fillId="0" borderId="137" xfId="0" applyFill="1" applyBorder="1" applyAlignment="1">
      <alignment horizontal="center" vertical="center"/>
    </xf>
    <xf numFmtId="9" fontId="0" fillId="0" borderId="137" xfId="5" applyFont="1" applyFill="1" applyBorder="1" applyAlignment="1">
      <alignment horizontal="center" vertical="center"/>
    </xf>
    <xf numFmtId="2" fontId="0" fillId="0" borderId="137" xfId="0" applyNumberFormat="1" applyFill="1" applyBorder="1" applyAlignment="1">
      <alignment horizontal="center" vertical="center"/>
    </xf>
    <xf numFmtId="2" fontId="0" fillId="0" borderId="137" xfId="0" applyNumberFormat="1" applyFill="1" applyBorder="1" applyAlignment="1">
      <alignment horizontal="right" vertical="center"/>
    </xf>
    <xf numFmtId="0" fontId="0" fillId="0" borderId="138" xfId="0" applyFill="1" applyBorder="1"/>
    <xf numFmtId="0" fontId="0" fillId="7" borderId="53" xfId="0" applyFill="1" applyBorder="1"/>
    <xf numFmtId="0" fontId="0" fillId="0" borderId="139" xfId="0" applyFill="1" applyBorder="1"/>
    <xf numFmtId="0" fontId="0" fillId="0" borderId="5" xfId="0" applyFill="1" applyBorder="1" applyAlignment="1">
      <alignment horizontal="center" vertical="center"/>
    </xf>
    <xf numFmtId="0" fontId="0" fillId="0" borderId="140" xfId="0" applyFill="1" applyBorder="1" applyAlignment="1">
      <alignment horizontal="center" vertical="center"/>
    </xf>
    <xf numFmtId="0" fontId="4" fillId="7" borderId="53" xfId="0" applyFont="1" applyFill="1" applyBorder="1"/>
    <xf numFmtId="0" fontId="4" fillId="0" borderId="134" xfId="0" applyFont="1" applyFill="1" applyBorder="1" applyAlignment="1">
      <alignment horizontal="left" vertical="center"/>
    </xf>
    <xf numFmtId="2" fontId="4" fillId="0" borderId="8" xfId="0" applyNumberFormat="1" applyFont="1" applyFill="1" applyBorder="1" applyAlignment="1">
      <alignment horizontal="center" vertical="center"/>
    </xf>
    <xf numFmtId="0" fontId="4" fillId="0" borderId="58" xfId="0" applyFont="1" applyFill="1" applyBorder="1"/>
    <xf numFmtId="0" fontId="0" fillId="0" borderId="114" xfId="0" applyFill="1" applyBorder="1"/>
    <xf numFmtId="0" fontId="0" fillId="0" borderId="115" xfId="0" applyFill="1" applyBorder="1" applyAlignment="1">
      <alignment horizontal="center" vertical="center"/>
    </xf>
    <xf numFmtId="0" fontId="0" fillId="0" borderId="116" xfId="0" applyFill="1" applyBorder="1"/>
    <xf numFmtId="0" fontId="0" fillId="0" borderId="117" xfId="0" applyFill="1" applyBorder="1"/>
    <xf numFmtId="0" fontId="0" fillId="0" borderId="3" xfId="0" applyFill="1" applyBorder="1" applyAlignment="1">
      <alignment horizontal="center" vertical="center"/>
    </xf>
    <xf numFmtId="0" fontId="0" fillId="0" borderId="118" xfId="0" applyFill="1" applyBorder="1"/>
    <xf numFmtId="0" fontId="0" fillId="0" borderId="117" xfId="0" applyFill="1" applyBorder="1" applyAlignment="1">
      <alignment horizontal="left"/>
    </xf>
    <xf numFmtId="0" fontId="0" fillId="0" borderId="3" xfId="0" applyFill="1" applyBorder="1"/>
    <xf numFmtId="2" fontId="0" fillId="0" borderId="3" xfId="0" applyNumberFormat="1" applyFill="1" applyBorder="1" applyAlignment="1">
      <alignment horizontal="right" vertical="center"/>
    </xf>
    <xf numFmtId="0" fontId="4" fillId="0" borderId="117" xfId="0" applyFont="1" applyFill="1" applyBorder="1" applyAlignment="1">
      <alignment horizontal="lef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right" vertical="center"/>
    </xf>
    <xf numFmtId="0" fontId="4" fillId="0" borderId="118" xfId="0" applyFont="1" applyFill="1" applyBorder="1"/>
    <xf numFmtId="0" fontId="0" fillId="0" borderId="141" xfId="0" applyFill="1" applyBorder="1" applyAlignment="1">
      <alignment horizontal="left"/>
    </xf>
    <xf numFmtId="0" fontId="0" fillId="0" borderId="142" xfId="0" applyFill="1" applyBorder="1"/>
    <xf numFmtId="0" fontId="0" fillId="0" borderId="142" xfId="0" applyFill="1" applyBorder="1" applyAlignment="1">
      <alignment horizontal="center"/>
    </xf>
    <xf numFmtId="0" fontId="0" fillId="0" borderId="142" xfId="0" applyFill="1" applyBorder="1" applyAlignment="1">
      <alignment horizontal="right" vertical="center"/>
    </xf>
    <xf numFmtId="0" fontId="0" fillId="0" borderId="143" xfId="0" applyFill="1" applyBorder="1"/>
    <xf numFmtId="0" fontId="0" fillId="7" borderId="0" xfId="0" applyFill="1"/>
    <xf numFmtId="0" fontId="4" fillId="7" borderId="76" xfId="0" applyFont="1" applyFill="1" applyBorder="1"/>
    <xf numFmtId="0" fontId="0" fillId="7" borderId="58" xfId="0" applyFill="1" applyBorder="1"/>
    <xf numFmtId="0" fontId="0" fillId="7" borderId="77" xfId="0" applyFill="1" applyBorder="1"/>
    <xf numFmtId="0" fontId="0" fillId="0" borderId="53" xfId="0" applyFont="1" applyFill="1" applyBorder="1" applyAlignment="1">
      <alignment horizontal="center" vertical="center"/>
    </xf>
    <xf numFmtId="0" fontId="0" fillId="0" borderId="53" xfId="0" applyFont="1" applyFill="1" applyBorder="1" applyAlignment="1">
      <alignment horizontal="center" vertical="center" wrapText="1"/>
    </xf>
    <xf numFmtId="2" fontId="0" fillId="0" borderId="3" xfId="0" applyNumberFormat="1" applyFill="1" applyBorder="1" applyAlignment="1">
      <alignment horizontal="center" vertical="center"/>
    </xf>
    <xf numFmtId="0" fontId="0" fillId="0" borderId="141" xfId="0" applyFill="1" applyBorder="1"/>
    <xf numFmtId="2" fontId="0" fillId="0" borderId="142" xfId="0" applyNumberFormat="1" applyFill="1" applyBorder="1" applyAlignment="1">
      <alignment horizontal="center" vertical="center"/>
    </xf>
    <xf numFmtId="2" fontId="0" fillId="0" borderId="142" xfId="0" applyNumberFormat="1" applyFill="1" applyBorder="1" applyAlignment="1">
      <alignment horizontal="right" vertical="center"/>
    </xf>
    <xf numFmtId="0" fontId="0" fillId="0" borderId="144" xfId="0" applyFill="1" applyBorder="1"/>
    <xf numFmtId="0" fontId="0" fillId="0" borderId="32" xfId="0" applyFill="1" applyBorder="1" applyAlignment="1">
      <alignment horizontal="center" vertical="center"/>
    </xf>
    <xf numFmtId="0" fontId="0" fillId="0" borderId="145" xfId="0" applyFill="1" applyBorder="1"/>
    <xf numFmtId="0" fontId="0" fillId="0" borderId="118" xfId="0" applyFill="1" applyBorder="1" applyAlignment="1">
      <alignment horizontal="center" vertical="center"/>
    </xf>
    <xf numFmtId="0" fontId="0" fillId="0" borderId="7" xfId="0" applyFill="1" applyBorder="1"/>
    <xf numFmtId="0" fontId="0" fillId="0" borderId="6" xfId="0" applyFill="1" applyBorder="1"/>
    <xf numFmtId="0" fontId="0" fillId="0" borderId="117" xfId="0" applyFill="1" applyBorder="1" applyAlignment="1">
      <alignment horizontal="left" vertical="center"/>
    </xf>
    <xf numFmtId="0" fontId="0" fillId="0" borderId="142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0" borderId="115" xfId="0" applyFill="1" applyBorder="1" applyAlignment="1">
      <alignment horizontal="center"/>
    </xf>
    <xf numFmtId="0" fontId="0" fillId="0" borderId="11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8" xfId="0" applyFill="1" applyBorder="1" applyAlignment="1">
      <alignment horizontal="center"/>
    </xf>
    <xf numFmtId="2" fontId="0" fillId="0" borderId="3" xfId="0" applyNumberFormat="1" applyFill="1" applyBorder="1"/>
    <xf numFmtId="2" fontId="4" fillId="0" borderId="3" xfId="0" applyNumberFormat="1" applyFont="1" applyFill="1" applyBorder="1"/>
    <xf numFmtId="2" fontId="0" fillId="0" borderId="142" xfId="0" applyNumberFormat="1" applyFill="1" applyBorder="1"/>
    <xf numFmtId="2" fontId="4" fillId="0" borderId="3" xfId="0" applyNumberFormat="1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26" fillId="0" borderId="124" xfId="0" applyFont="1" applyFill="1" applyBorder="1" applyAlignment="1">
      <alignment horizontal="justify" vertical="center" wrapText="1"/>
    </xf>
    <xf numFmtId="0" fontId="65" fillId="0" borderId="95" xfId="0" applyFont="1" applyFill="1" applyBorder="1" applyAlignment="1">
      <alignment vertical="center" wrapText="1"/>
    </xf>
    <xf numFmtId="0" fontId="65" fillId="0" borderId="100" xfId="0" applyFont="1" applyFill="1" applyBorder="1" applyAlignment="1">
      <alignment vertical="center" wrapText="1"/>
    </xf>
    <xf numFmtId="0" fontId="65" fillId="0" borderId="126" xfId="0" applyFont="1" applyFill="1" applyBorder="1" applyAlignment="1">
      <alignment vertical="center" wrapText="1"/>
    </xf>
    <xf numFmtId="2" fontId="65" fillId="7" borderId="53" xfId="0" applyNumberFormat="1" applyFont="1" applyFill="1" applyBorder="1" applyAlignment="1">
      <alignment horizontal="center" vertical="center"/>
    </xf>
    <xf numFmtId="2" fontId="65" fillId="7" borderId="128" xfId="0" applyNumberFormat="1" applyFont="1" applyFill="1" applyBorder="1" applyAlignment="1">
      <alignment horizontal="center" vertical="center"/>
    </xf>
    <xf numFmtId="0" fontId="11" fillId="3" borderId="22" xfId="1" applyNumberFormat="1" applyFont="1" applyFill="1" applyBorder="1" applyAlignment="1">
      <alignment horizontal="center" vertical="center" wrapText="1"/>
    </xf>
    <xf numFmtId="0" fontId="11" fillId="3" borderId="2" xfId="1" applyNumberFormat="1" applyFont="1" applyFill="1" applyBorder="1" applyAlignment="1">
      <alignment horizontal="center" vertical="center" wrapText="1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76" xfId="0" applyFont="1" applyFill="1" applyBorder="1" applyAlignment="1">
      <alignment horizontal="left" vertical="center" wrapText="1"/>
    </xf>
    <xf numFmtId="0" fontId="11" fillId="3" borderId="58" xfId="0" applyFont="1" applyFill="1" applyBorder="1" applyAlignment="1">
      <alignment horizontal="left" vertical="center" wrapText="1"/>
    </xf>
    <xf numFmtId="0" fontId="11" fillId="3" borderId="77" xfId="0" applyFont="1" applyFill="1" applyBorder="1" applyAlignment="1">
      <alignment horizontal="left" vertical="center" wrapText="1"/>
    </xf>
    <xf numFmtId="0" fontId="11" fillId="0" borderId="53" xfId="0" applyFont="1" applyFill="1" applyBorder="1" applyAlignment="1">
      <alignment horizontal="left" vertical="center" wrapText="1"/>
    </xf>
    <xf numFmtId="0" fontId="11" fillId="0" borderId="53" xfId="0" applyFont="1" applyFill="1" applyBorder="1" applyAlignment="1">
      <alignment horizontal="left" vertical="center"/>
    </xf>
    <xf numFmtId="0" fontId="47" fillId="11" borderId="6" xfId="6" applyNumberFormat="1" applyFont="1" applyFill="1" applyBorder="1" applyAlignment="1">
      <alignment horizontal="left" vertical="center" wrapText="1"/>
    </xf>
    <xf numFmtId="0" fontId="47" fillId="11" borderId="8" xfId="6" applyNumberFormat="1" applyFont="1" applyFill="1" applyBorder="1" applyAlignment="1">
      <alignment horizontal="left" vertical="center" wrapText="1"/>
    </xf>
    <xf numFmtId="0" fontId="11" fillId="3" borderId="12" xfId="1" applyNumberFormat="1" applyFont="1" applyFill="1" applyBorder="1" applyAlignment="1">
      <alignment horizontal="center" vertical="center" wrapText="1"/>
    </xf>
    <xf numFmtId="0" fontId="11" fillId="3" borderId="0" xfId="1" applyNumberFormat="1" applyFont="1" applyFill="1" applyBorder="1" applyAlignment="1">
      <alignment horizontal="center" vertical="center" wrapText="1"/>
    </xf>
    <xf numFmtId="0" fontId="44" fillId="0" borderId="9" xfId="0" applyNumberFormat="1" applyFont="1" applyBorder="1" applyAlignment="1">
      <alignment horizontal="center" vertical="center"/>
    </xf>
    <xf numFmtId="0" fontId="44" fillId="0" borderId="10" xfId="0" applyNumberFormat="1" applyFont="1" applyBorder="1" applyAlignment="1">
      <alignment horizontal="center" vertical="center"/>
    </xf>
    <xf numFmtId="0" fontId="44" fillId="0" borderId="11" xfId="0" applyNumberFormat="1" applyFont="1" applyBorder="1" applyAlignment="1">
      <alignment horizontal="center" vertical="center"/>
    </xf>
    <xf numFmtId="0" fontId="42" fillId="3" borderId="16" xfId="0" applyFont="1" applyFill="1" applyBorder="1" applyAlignment="1">
      <alignment horizontal="center" vertical="center"/>
    </xf>
    <xf numFmtId="0" fontId="42" fillId="3" borderId="0" xfId="0" applyFont="1" applyFill="1" applyBorder="1" applyAlignment="1">
      <alignment horizontal="center" vertical="center"/>
    </xf>
    <xf numFmtId="0" fontId="42" fillId="3" borderId="24" xfId="0" applyFont="1" applyFill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69" fillId="0" borderId="16" xfId="0" applyFont="1" applyBorder="1" applyAlignment="1">
      <alignment horizontal="left" vertical="center" wrapText="1"/>
    </xf>
    <xf numFmtId="0" fontId="69" fillId="0" borderId="0" xfId="0" applyFont="1" applyBorder="1" applyAlignment="1">
      <alignment horizontal="left" vertical="center"/>
    </xf>
    <xf numFmtId="0" fontId="69" fillId="0" borderId="24" xfId="0" applyFont="1" applyBorder="1" applyAlignment="1">
      <alignment horizontal="left" vertical="center"/>
    </xf>
    <xf numFmtId="0" fontId="69" fillId="0" borderId="21" xfId="0" applyFont="1" applyBorder="1" applyAlignment="1">
      <alignment horizontal="left" vertical="center"/>
    </xf>
    <xf numFmtId="0" fontId="69" fillId="0" borderId="17" xfId="0" applyFont="1" applyBorder="1" applyAlignment="1">
      <alignment horizontal="left" vertical="center"/>
    </xf>
    <xf numFmtId="0" fontId="69" fillId="0" borderId="18" xfId="0" applyFont="1" applyBorder="1" applyAlignment="1">
      <alignment horizontal="left" vertical="center"/>
    </xf>
    <xf numFmtId="0" fontId="42" fillId="3" borderId="20" xfId="0" applyFont="1" applyFill="1" applyBorder="1" applyAlignment="1">
      <alignment horizontal="center" vertical="center"/>
    </xf>
    <xf numFmtId="0" fontId="42" fillId="3" borderId="12" xfId="0" applyFont="1" applyFill="1" applyBorder="1" applyAlignment="1">
      <alignment horizontal="center" vertical="center"/>
    </xf>
    <xf numFmtId="0" fontId="42" fillId="3" borderId="23" xfId="0" applyFont="1" applyFill="1" applyBorder="1" applyAlignment="1">
      <alignment horizontal="center" vertical="center"/>
    </xf>
    <xf numFmtId="0" fontId="42" fillId="3" borderId="21" xfId="0" applyFont="1" applyFill="1" applyBorder="1" applyAlignment="1">
      <alignment horizontal="center" vertical="center"/>
    </xf>
    <xf numFmtId="0" fontId="42" fillId="3" borderId="17" xfId="0" applyFont="1" applyFill="1" applyBorder="1" applyAlignment="1">
      <alignment horizontal="center" vertical="center"/>
    </xf>
    <xf numFmtId="0" fontId="42" fillId="3" borderId="18" xfId="0" applyFont="1" applyFill="1" applyBorder="1" applyAlignment="1">
      <alignment horizontal="center" vertical="center"/>
    </xf>
    <xf numFmtId="1" fontId="62" fillId="3" borderId="76" xfId="0" applyNumberFormat="1" applyFont="1" applyFill="1" applyBorder="1" applyAlignment="1">
      <alignment horizontal="left" vertical="center" wrapText="1"/>
    </xf>
    <xf numFmtId="1" fontId="62" fillId="3" borderId="58" xfId="0" applyNumberFormat="1" applyFont="1" applyFill="1" applyBorder="1" applyAlignment="1">
      <alignment horizontal="left" vertical="center" wrapText="1"/>
    </xf>
    <xf numFmtId="1" fontId="62" fillId="3" borderId="77" xfId="0" applyNumberFormat="1" applyFont="1" applyFill="1" applyBorder="1" applyAlignment="1">
      <alignment horizontal="left" vertical="center" wrapText="1"/>
    </xf>
    <xf numFmtId="0" fontId="47" fillId="11" borderId="6" xfId="6" applyFont="1" applyFill="1" applyBorder="1" applyAlignment="1">
      <alignment horizontal="left" vertical="center" wrapText="1"/>
    </xf>
    <xf numFmtId="0" fontId="47" fillId="11" borderId="8" xfId="6" applyFont="1" applyFill="1" applyBorder="1" applyAlignment="1">
      <alignment horizontal="left" vertical="center"/>
    </xf>
    <xf numFmtId="0" fontId="47" fillId="0" borderId="6" xfId="1" applyFont="1" applyFill="1" applyBorder="1" applyAlignment="1">
      <alignment horizontal="left" vertical="center" wrapText="1"/>
    </xf>
    <xf numFmtId="0" fontId="47" fillId="0" borderId="8" xfId="1" applyFont="1" applyFill="1" applyBorder="1" applyAlignment="1">
      <alignment horizontal="left" vertical="center" wrapText="1"/>
    </xf>
    <xf numFmtId="0" fontId="47" fillId="0" borderId="14" xfId="1" applyFont="1" applyFill="1" applyBorder="1" applyAlignment="1">
      <alignment horizontal="left" vertical="center" wrapText="1"/>
    </xf>
    <xf numFmtId="0" fontId="47" fillId="11" borderId="6" xfId="6" applyFont="1" applyFill="1" applyBorder="1" applyAlignment="1">
      <alignment horizontal="left" vertical="center"/>
    </xf>
    <xf numFmtId="1" fontId="47" fillId="3" borderId="76" xfId="0" applyNumberFormat="1" applyFont="1" applyFill="1" applyBorder="1" applyAlignment="1">
      <alignment horizontal="left" vertical="center" wrapText="1"/>
    </xf>
    <xf numFmtId="1" fontId="47" fillId="3" borderId="58" xfId="0" applyNumberFormat="1" applyFont="1" applyFill="1" applyBorder="1" applyAlignment="1">
      <alignment horizontal="left" vertical="center" wrapText="1"/>
    </xf>
    <xf numFmtId="1" fontId="47" fillId="3" borderId="77" xfId="0" applyNumberFormat="1" applyFont="1" applyFill="1" applyBorder="1" applyAlignment="1">
      <alignment horizontal="left" vertical="center" wrapText="1"/>
    </xf>
    <xf numFmtId="1" fontId="47" fillId="3" borderId="104" xfId="0" applyNumberFormat="1" applyFont="1" applyFill="1" applyBorder="1" applyAlignment="1">
      <alignment horizontal="left" vertical="center" wrapText="1"/>
    </xf>
    <xf numFmtId="1" fontId="62" fillId="3" borderId="92" xfId="0" applyNumberFormat="1" applyFont="1" applyFill="1" applyBorder="1" applyAlignment="1">
      <alignment horizontal="left" vertical="center" wrapText="1"/>
    </xf>
    <xf numFmtId="1" fontId="49" fillId="3" borderId="58" xfId="0" applyNumberFormat="1" applyFont="1" applyFill="1" applyBorder="1" applyAlignment="1">
      <alignment horizontal="left" vertical="center" wrapText="1"/>
    </xf>
    <xf numFmtId="0" fontId="22" fillId="18" borderId="9" xfId="9" applyFont="1" applyFill="1" applyBorder="1" applyAlignment="1">
      <alignment horizontal="left" vertical="center"/>
    </xf>
    <xf numFmtId="0" fontId="22" fillId="18" borderId="10" xfId="9" applyFont="1" applyFill="1" applyBorder="1" applyAlignment="1">
      <alignment horizontal="left" vertical="center"/>
    </xf>
    <xf numFmtId="49" fontId="47" fillId="3" borderId="100" xfId="9" applyNumberFormat="1" applyFont="1" applyFill="1" applyBorder="1" applyAlignment="1">
      <alignment horizontal="center" vertical="center"/>
    </xf>
    <xf numFmtId="0" fontId="47" fillId="3" borderId="76" xfId="9" applyFont="1" applyFill="1" applyBorder="1" applyAlignment="1">
      <alignment horizontal="left" vertical="center" wrapText="1"/>
    </xf>
    <xf numFmtId="10" fontId="49" fillId="16" borderId="109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102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111" xfId="9" applyNumberFormat="1" applyFont="1" applyFill="1" applyBorder="1" applyAlignment="1" applyProtection="1">
      <alignment horizontal="center" vertical="center" wrapText="1"/>
      <protection locked="0"/>
    </xf>
    <xf numFmtId="10" fontId="49" fillId="3" borderId="92" xfId="9" applyNumberFormat="1" applyFont="1" applyFill="1" applyBorder="1" applyAlignment="1">
      <alignment horizontal="center" vertical="center"/>
    </xf>
    <xf numFmtId="10" fontId="49" fillId="3" borderId="103" xfId="9" applyNumberFormat="1" applyFont="1" applyFill="1" applyBorder="1" applyAlignment="1">
      <alignment horizontal="center" vertical="center"/>
    </xf>
    <xf numFmtId="10" fontId="49" fillId="3" borderId="104" xfId="9" applyNumberFormat="1" applyFont="1" applyFill="1" applyBorder="1" applyAlignment="1">
      <alignment horizontal="center" vertical="center"/>
    </xf>
    <xf numFmtId="39" fontId="47" fillId="3" borderId="106" xfId="8" applyNumberFormat="1" applyFont="1" applyFill="1" applyBorder="1" applyAlignment="1">
      <alignment horizontal="center" vertical="center"/>
    </xf>
    <xf numFmtId="39" fontId="47" fillId="3" borderId="110" xfId="8" applyNumberFormat="1" applyFont="1" applyFill="1" applyBorder="1" applyAlignment="1">
      <alignment horizontal="center" vertical="center"/>
    </xf>
    <xf numFmtId="39" fontId="47" fillId="3" borderId="105" xfId="8" applyNumberFormat="1" applyFont="1" applyFill="1" applyBorder="1" applyAlignment="1">
      <alignment horizontal="center" vertical="center"/>
    </xf>
    <xf numFmtId="0" fontId="47" fillId="3" borderId="106" xfId="9" applyFont="1" applyFill="1" applyBorder="1" applyAlignment="1">
      <alignment horizontal="left" vertical="center" wrapText="1"/>
    </xf>
    <xf numFmtId="0" fontId="47" fillId="3" borderId="110" xfId="9" applyFont="1" applyFill="1" applyBorder="1" applyAlignment="1">
      <alignment horizontal="left" vertical="center" wrapText="1"/>
    </xf>
    <xf numFmtId="0" fontId="47" fillId="3" borderId="105" xfId="9" applyFont="1" applyFill="1" applyBorder="1" applyAlignment="1">
      <alignment horizontal="left" vertical="center" wrapText="1"/>
    </xf>
    <xf numFmtId="10" fontId="49" fillId="16" borderId="92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103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104" xfId="9" applyNumberFormat="1" applyFont="1" applyFill="1" applyBorder="1" applyAlignment="1" applyProtection="1">
      <alignment horizontal="center" vertical="center" wrapText="1"/>
      <protection locked="0"/>
    </xf>
    <xf numFmtId="39" fontId="47" fillId="16" borderId="106" xfId="8" applyNumberFormat="1" applyFont="1" applyFill="1" applyBorder="1" applyAlignment="1" applyProtection="1">
      <alignment horizontal="center" vertical="center"/>
      <protection locked="0"/>
    </xf>
    <xf numFmtId="39" fontId="47" fillId="16" borderId="110" xfId="8" applyNumberFormat="1" applyFont="1" applyFill="1" applyBorder="1" applyAlignment="1" applyProtection="1">
      <alignment horizontal="center" vertical="center"/>
      <protection locked="0"/>
    </xf>
    <xf numFmtId="39" fontId="47" fillId="16" borderId="105" xfId="8" applyNumberFormat="1" applyFont="1" applyFill="1" applyBorder="1" applyAlignment="1" applyProtection="1">
      <alignment horizontal="center" vertical="center"/>
      <protection locked="0"/>
    </xf>
    <xf numFmtId="49" fontId="47" fillId="3" borderId="108" xfId="9" applyNumberFormat="1" applyFont="1" applyFill="1" applyBorder="1" applyAlignment="1">
      <alignment horizontal="left" vertical="center" wrapText="1"/>
    </xf>
    <xf numFmtId="49" fontId="47" fillId="3" borderId="76" xfId="9" applyNumberFormat="1" applyFont="1" applyFill="1" applyBorder="1" applyAlignment="1">
      <alignment horizontal="left" vertical="center" wrapText="1"/>
    </xf>
    <xf numFmtId="10" fontId="49" fillId="0" borderId="92" xfId="9" applyNumberFormat="1" applyFont="1" applyBorder="1" applyAlignment="1">
      <alignment horizontal="center" vertical="center"/>
    </xf>
    <xf numFmtId="0" fontId="49" fillId="0" borderId="103" xfId="9" applyFont="1" applyBorder="1" applyAlignment="1">
      <alignment horizontal="center" vertical="center"/>
    </xf>
    <xf numFmtId="0" fontId="49" fillId="0" borderId="104" xfId="9" applyFont="1" applyBorder="1" applyAlignment="1">
      <alignment horizontal="center" vertical="center"/>
    </xf>
    <xf numFmtId="49" fontId="47" fillId="3" borderId="66" xfId="9" applyNumberFormat="1" applyFont="1" applyFill="1" applyBorder="1" applyAlignment="1">
      <alignment horizontal="center" vertical="center"/>
    </xf>
    <xf numFmtId="169" fontId="47" fillId="3" borderId="92" xfId="9" applyNumberFormat="1" applyFont="1" applyFill="1" applyBorder="1" applyAlignment="1">
      <alignment horizontal="left" vertical="center" wrapText="1"/>
    </xf>
    <xf numFmtId="169" fontId="47" fillId="3" borderId="103" xfId="9" applyNumberFormat="1" applyFont="1" applyFill="1" applyBorder="1" applyAlignment="1">
      <alignment horizontal="left" vertical="center" wrapText="1"/>
    </xf>
    <xf numFmtId="169" fontId="47" fillId="3" borderId="104" xfId="9" applyNumberFormat="1" applyFont="1" applyFill="1" applyBorder="1" applyAlignment="1">
      <alignment horizontal="left" vertical="center" wrapText="1"/>
    </xf>
    <xf numFmtId="10" fontId="49" fillId="16" borderId="89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2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90" xfId="9" applyNumberFormat="1" applyFont="1" applyFill="1" applyBorder="1" applyAlignment="1" applyProtection="1">
      <alignment horizontal="center" vertical="center" wrapText="1"/>
      <protection locked="0"/>
    </xf>
    <xf numFmtId="39" fontId="47" fillId="16" borderId="88" xfId="8" applyNumberFormat="1" applyFont="1" applyFill="1" applyBorder="1" applyAlignment="1" applyProtection="1">
      <alignment horizontal="center" vertical="center"/>
      <protection locked="0"/>
    </xf>
    <xf numFmtId="49" fontId="47" fillId="3" borderId="91" xfId="9" applyNumberFormat="1" applyFont="1" applyFill="1" applyBorder="1" applyAlignment="1">
      <alignment horizontal="left" vertical="center" wrapText="1"/>
    </xf>
    <xf numFmtId="10" fontId="49" fillId="16" borderId="54" xfId="9" applyNumberFormat="1" applyFont="1" applyFill="1" applyBorder="1" applyAlignment="1" applyProtection="1">
      <alignment horizontal="center" vertical="center" wrapText="1"/>
      <protection locked="0"/>
    </xf>
    <xf numFmtId="10" fontId="49" fillId="16" borderId="56" xfId="9" applyNumberFormat="1" applyFont="1" applyFill="1" applyBorder="1" applyAlignment="1" applyProtection="1">
      <alignment horizontal="center" vertical="center" wrapText="1"/>
      <protection locked="0"/>
    </xf>
    <xf numFmtId="39" fontId="47" fillId="16" borderId="101" xfId="8" applyNumberFormat="1" applyFont="1" applyFill="1" applyBorder="1" applyAlignment="1" applyProtection="1">
      <alignment horizontal="center" vertical="center"/>
      <protection locked="0"/>
    </xf>
    <xf numFmtId="49" fontId="47" fillId="13" borderId="95" xfId="9" applyNumberFormat="1" applyFont="1" applyFill="1" applyBorder="1" applyAlignment="1" applyProtection="1">
      <alignment horizontal="center" vertical="center" wrapText="1"/>
      <protection locked="0"/>
    </xf>
    <xf numFmtId="49" fontId="47" fillId="13" borderId="100" xfId="9" applyNumberFormat="1" applyFont="1" applyFill="1" applyBorder="1" applyAlignment="1" applyProtection="1">
      <alignment horizontal="center" vertical="center" wrapText="1"/>
      <protection locked="0"/>
    </xf>
    <xf numFmtId="0" fontId="47" fillId="13" borderId="96" xfId="9" applyNumberFormat="1" applyFont="1" applyFill="1" applyBorder="1" applyAlignment="1" applyProtection="1">
      <alignment horizontal="center" vertical="center" wrapText="1"/>
      <protection locked="0"/>
    </xf>
    <xf numFmtId="0" fontId="47" fillId="13" borderId="19" xfId="9" applyNumberFormat="1" applyFont="1" applyFill="1" applyBorder="1" applyAlignment="1" applyProtection="1">
      <alignment horizontal="center" vertical="center" wrapText="1"/>
      <protection locked="0"/>
    </xf>
    <xf numFmtId="10" fontId="47" fillId="13" borderId="97" xfId="9" applyNumberFormat="1" applyFont="1" applyFill="1" applyBorder="1" applyAlignment="1" applyProtection="1">
      <alignment horizontal="center" vertical="center" wrapText="1"/>
      <protection locked="0"/>
    </xf>
    <xf numFmtId="10" fontId="47" fillId="13" borderId="98" xfId="9" applyNumberFormat="1" applyFont="1" applyFill="1" applyBorder="1" applyAlignment="1" applyProtection="1">
      <alignment horizontal="center" vertical="center" wrapText="1"/>
      <protection locked="0"/>
    </xf>
    <xf numFmtId="0" fontId="47" fillId="13" borderId="98" xfId="10" applyNumberFormat="1" applyFont="1" applyFill="1" applyBorder="1" applyAlignment="1" applyProtection="1">
      <alignment horizontal="center" vertical="center" wrapText="1"/>
      <protection locked="0"/>
    </xf>
    <xf numFmtId="0" fontId="48" fillId="0" borderId="20" xfId="9" applyNumberFormat="1" applyFont="1" applyFill="1" applyBorder="1" applyAlignment="1" applyProtection="1">
      <alignment horizontal="center" vertical="center" wrapText="1"/>
      <protection locked="0"/>
    </xf>
    <xf numFmtId="0" fontId="48" fillId="0" borderId="12" xfId="9" applyNumberFormat="1" applyFont="1" applyFill="1" applyBorder="1" applyAlignment="1" applyProtection="1">
      <alignment horizontal="center" vertical="center" wrapText="1"/>
      <protection locked="0"/>
    </xf>
    <xf numFmtId="0" fontId="48" fillId="0" borderId="23" xfId="9" applyNumberFormat="1" applyFont="1" applyFill="1" applyBorder="1" applyAlignment="1" applyProtection="1">
      <alignment horizontal="center" vertical="center" wrapText="1"/>
      <protection locked="0"/>
    </xf>
    <xf numFmtId="0" fontId="51" fillId="0" borderId="94" xfId="0" applyFont="1" applyBorder="1" applyAlignment="1">
      <alignment horizontal="left" vertical="center" wrapText="1"/>
    </xf>
    <xf numFmtId="0" fontId="51" fillId="0" borderId="42" xfId="0" applyFont="1" applyBorder="1" applyAlignment="1">
      <alignment horizontal="left" vertical="center" wrapText="1"/>
    </xf>
    <xf numFmtId="0" fontId="51" fillId="0" borderId="94" xfId="0" applyFont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 wrapText="1"/>
    </xf>
    <xf numFmtId="0" fontId="2" fillId="0" borderId="94" xfId="9" applyFont="1" applyBorder="1" applyAlignment="1">
      <alignment horizontal="left" vertical="center" wrapText="1"/>
    </xf>
    <xf numFmtId="0" fontId="2" fillId="0" borderId="42" xfId="9" applyFont="1" applyBorder="1" applyAlignment="1">
      <alignment horizontal="left" vertical="center" wrapText="1"/>
    </xf>
    <xf numFmtId="168" fontId="48" fillId="0" borderId="21" xfId="9" applyNumberFormat="1" applyFont="1" applyBorder="1" applyAlignment="1">
      <alignment horizontal="center" vertical="center"/>
    </xf>
    <xf numFmtId="168" fontId="48" fillId="0" borderId="17" xfId="9" applyNumberFormat="1" applyFont="1" applyBorder="1" applyAlignment="1">
      <alignment horizontal="center" vertical="center"/>
    </xf>
    <xf numFmtId="168" fontId="48" fillId="0" borderId="18" xfId="9" applyNumberFormat="1" applyFont="1" applyBorder="1" applyAlignment="1">
      <alignment horizontal="center" vertical="center"/>
    </xf>
    <xf numFmtId="0" fontId="46" fillId="0" borderId="9" xfId="9" applyFont="1" applyBorder="1" applyAlignment="1">
      <alignment horizontal="center" vertical="center" wrapText="1"/>
    </xf>
    <xf numFmtId="0" fontId="46" fillId="0" borderId="10" xfId="9" applyFont="1" applyBorder="1" applyAlignment="1">
      <alignment horizontal="center" vertical="center" wrapText="1"/>
    </xf>
    <xf numFmtId="0" fontId="46" fillId="0" borderId="11" xfId="9" applyFont="1" applyBorder="1" applyAlignment="1">
      <alignment horizontal="center" vertical="center" wrapText="1"/>
    </xf>
    <xf numFmtId="0" fontId="48" fillId="0" borderId="21" xfId="9" applyNumberFormat="1" applyFont="1" applyFill="1" applyBorder="1" applyAlignment="1" applyProtection="1">
      <alignment horizontal="left" vertical="center" wrapText="1"/>
      <protection locked="0"/>
    </xf>
    <xf numFmtId="0" fontId="48" fillId="0" borderId="17" xfId="9" applyNumberFormat="1" applyFont="1" applyFill="1" applyBorder="1" applyAlignment="1" applyProtection="1">
      <alignment horizontal="left" vertical="center" wrapText="1"/>
      <protection locked="0"/>
    </xf>
    <xf numFmtId="0" fontId="48" fillId="0" borderId="18" xfId="9" applyNumberFormat="1" applyFont="1" applyFill="1" applyBorder="1" applyAlignment="1" applyProtection="1">
      <alignment horizontal="left" vertical="center" wrapText="1"/>
      <protection locked="0"/>
    </xf>
    <xf numFmtId="0" fontId="47" fillId="0" borderId="16" xfId="9" applyFont="1" applyBorder="1" applyAlignment="1">
      <alignment vertical="center" wrapText="1"/>
    </xf>
    <xf numFmtId="0" fontId="47" fillId="0" borderId="0" xfId="9" applyFont="1" applyBorder="1" applyAlignment="1">
      <alignment vertical="center" wrapText="1"/>
    </xf>
    <xf numFmtId="0" fontId="47" fillId="0" borderId="24" xfId="9" applyFont="1" applyBorder="1" applyAlignment="1">
      <alignment vertical="center" wrapText="1"/>
    </xf>
    <xf numFmtId="0" fontId="47" fillId="0" borderId="21" xfId="9" applyFont="1" applyBorder="1" applyAlignment="1">
      <alignment vertical="center" wrapText="1"/>
    </xf>
    <xf numFmtId="0" fontId="47" fillId="0" borderId="17" xfId="9" applyFont="1" applyBorder="1" applyAlignment="1">
      <alignment vertical="center" wrapText="1"/>
    </xf>
    <xf numFmtId="0" fontId="47" fillId="0" borderId="18" xfId="9" applyFont="1" applyBorder="1" applyAlignment="1">
      <alignment vertical="center" wrapText="1"/>
    </xf>
    <xf numFmtId="0" fontId="47" fillId="0" borderId="9" xfId="9" applyNumberFormat="1" applyFont="1" applyFill="1" applyBorder="1" applyAlignment="1" applyProtection="1">
      <alignment horizontal="justify" vertical="center" wrapText="1"/>
      <protection locked="0"/>
    </xf>
    <xf numFmtId="0" fontId="47" fillId="0" borderId="10" xfId="9" applyNumberFormat="1" applyFont="1" applyFill="1" applyBorder="1" applyAlignment="1" applyProtection="1">
      <alignment horizontal="justify" vertical="center" wrapText="1"/>
      <protection locked="0"/>
    </xf>
    <xf numFmtId="0" fontId="47" fillId="0" borderId="11" xfId="9" applyNumberFormat="1" applyFont="1" applyFill="1" applyBorder="1" applyAlignment="1" applyProtection="1">
      <alignment horizontal="justify" vertical="center" wrapText="1"/>
      <protection locked="0"/>
    </xf>
    <xf numFmtId="0" fontId="50" fillId="0" borderId="9" xfId="9" applyNumberFormat="1" applyFont="1" applyFill="1" applyBorder="1" applyAlignment="1" applyProtection="1">
      <alignment horizontal="center" vertical="center" wrapText="1"/>
      <protection locked="0"/>
    </xf>
    <xf numFmtId="0" fontId="50" fillId="0" borderId="11" xfId="9" applyNumberFormat="1" applyFont="1" applyFill="1" applyBorder="1" applyAlignment="1" applyProtection="1">
      <alignment horizontal="center" vertical="center" wrapText="1"/>
      <protection locked="0"/>
    </xf>
    <xf numFmtId="49" fontId="21" fillId="7" borderId="85" xfId="0" applyNumberFormat="1" applyFont="1" applyFill="1" applyBorder="1" applyAlignment="1">
      <alignment horizontal="center" vertical="center" wrapText="1"/>
    </xf>
    <xf numFmtId="49" fontId="21" fillId="7" borderId="87" xfId="0" applyNumberFormat="1" applyFont="1" applyFill="1" applyBorder="1" applyAlignment="1">
      <alignment horizontal="center" vertical="center" wrapText="1"/>
    </xf>
    <xf numFmtId="0" fontId="58" fillId="0" borderId="67" xfId="0" applyFont="1" applyBorder="1" applyAlignment="1">
      <alignment horizontal="center" vertical="center" wrapText="1"/>
    </xf>
    <xf numFmtId="0" fontId="58" fillId="0" borderId="60" xfId="0" applyFont="1" applyBorder="1" applyAlignment="1">
      <alignment horizontal="center" vertical="center" wrapText="1"/>
    </xf>
    <xf numFmtId="0" fontId="57" fillId="0" borderId="67" xfId="0" applyFont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 wrapText="1"/>
    </xf>
    <xf numFmtId="49" fontId="3" fillId="7" borderId="76" xfId="0" applyNumberFormat="1" applyFont="1" applyFill="1" applyBorder="1" applyAlignment="1">
      <alignment horizontal="left" vertical="center"/>
    </xf>
    <xf numFmtId="49" fontId="3" fillId="7" borderId="77" xfId="0" applyNumberFormat="1" applyFont="1" applyFill="1" applyBorder="1" applyAlignment="1">
      <alignment horizontal="left" vertical="center"/>
    </xf>
    <xf numFmtId="0" fontId="26" fillId="22" borderId="0" xfId="0" applyFont="1" applyFill="1" applyAlignment="1">
      <alignment horizontal="center" vertical="center"/>
    </xf>
    <xf numFmtId="0" fontId="26" fillId="22" borderId="16" xfId="0" applyFont="1" applyFill="1" applyBorder="1" applyAlignment="1">
      <alignment horizontal="center" vertical="center"/>
    </xf>
    <xf numFmtId="0" fontId="26" fillId="22" borderId="0" xfId="0" applyFont="1" applyFill="1" applyBorder="1" applyAlignment="1">
      <alignment horizontal="center" vertical="center"/>
    </xf>
    <xf numFmtId="0" fontId="26" fillId="22" borderId="24" xfId="0" applyFont="1" applyFill="1" applyBorder="1" applyAlignment="1">
      <alignment horizontal="center" vertical="center"/>
    </xf>
    <xf numFmtId="0" fontId="56" fillId="22" borderId="0" xfId="0" applyFont="1" applyFill="1" applyAlignment="1">
      <alignment horizontal="center" vertical="center"/>
    </xf>
    <xf numFmtId="0" fontId="56" fillId="20" borderId="0" xfId="0" applyFont="1" applyFill="1" applyAlignment="1">
      <alignment horizontal="center" vertical="center"/>
    </xf>
    <xf numFmtId="49" fontId="21" fillId="7" borderId="76" xfId="0" applyNumberFormat="1" applyFont="1" applyFill="1" applyBorder="1" applyAlignment="1">
      <alignment horizontal="center" vertical="center" wrapText="1"/>
    </xf>
    <xf numFmtId="49" fontId="21" fillId="7" borderId="77" xfId="0" applyNumberFormat="1" applyFont="1" applyFill="1" applyBorder="1" applyAlignment="1">
      <alignment horizontal="center" vertical="center" wrapText="1"/>
    </xf>
    <xf numFmtId="0" fontId="59" fillId="22" borderId="0" xfId="0" applyFont="1" applyFill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31" fillId="0" borderId="35" xfId="0" applyFont="1" applyBorder="1"/>
    <xf numFmtId="0" fontId="31" fillId="0" borderId="16" xfId="0" applyFont="1" applyBorder="1"/>
    <xf numFmtId="0" fontId="31" fillId="0" borderId="0" xfId="0" applyFont="1"/>
    <xf numFmtId="0" fontId="31" fillId="0" borderId="67" xfId="0" applyFont="1" applyBorder="1"/>
    <xf numFmtId="0" fontId="31" fillId="0" borderId="60" xfId="0" applyFont="1" applyBorder="1"/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65" fillId="0" borderId="9" xfId="0" applyFont="1" applyFill="1" applyBorder="1" applyAlignment="1">
      <alignment horizontal="left" vertical="center" wrapText="1"/>
    </xf>
    <xf numFmtId="0" fontId="65" fillId="0" borderId="10" xfId="0" applyFont="1" applyFill="1" applyBorder="1" applyAlignment="1">
      <alignment horizontal="left" vertical="center" wrapText="1"/>
    </xf>
    <xf numFmtId="0" fontId="65" fillId="0" borderId="11" xfId="0" applyFont="1" applyFill="1" applyBorder="1" applyAlignment="1">
      <alignment horizontal="left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4" fillId="7" borderId="53" xfId="0" applyFont="1" applyFill="1" applyBorder="1" applyAlignment="1">
      <alignment horizontal="left"/>
    </xf>
    <xf numFmtId="0" fontId="0" fillId="0" borderId="91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90" xfId="0" applyBorder="1" applyAlignment="1">
      <alignment horizontal="center"/>
    </xf>
  </cellXfs>
  <cellStyles count="11">
    <cellStyle name="Cálculo" xfId="6" builtinId="22"/>
    <cellStyle name="Moeda" xfId="4" builtinId="4"/>
    <cellStyle name="Moeda 2" xfId="10"/>
    <cellStyle name="Normal" xfId="0" builtinId="0"/>
    <cellStyle name="Normal 11" xfId="9"/>
    <cellStyle name="Normal 2" xfId="2"/>
    <cellStyle name="Normal 3" xfId="1"/>
    <cellStyle name="Normal 4" xfId="7"/>
    <cellStyle name="Nota 2" xfId="3"/>
    <cellStyle name="Porcentagem" xfId="5" builtinId="5"/>
    <cellStyle name="Separador de milhares" xfId="8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517071</xdr:colOff>
      <xdr:row>0</xdr:row>
      <xdr:rowOff>27215</xdr:rowOff>
    </xdr:from>
    <xdr:ext cx="1156607" cy="1230368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071" y="27215"/>
          <a:ext cx="1156607" cy="123036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806824</xdr:colOff>
      <xdr:row>0</xdr:row>
      <xdr:rowOff>874059</xdr:rowOff>
    </xdr:to>
    <xdr:pic>
      <xdr:nvPicPr>
        <xdr:cNvPr id="3" name="Picture 14" descr="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85725"/>
          <a:ext cx="740149" cy="788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4941793</xdr:colOff>
      <xdr:row>0</xdr:row>
      <xdr:rowOff>78439</xdr:rowOff>
    </xdr:from>
    <xdr:to>
      <xdr:col>12</xdr:col>
      <xdr:colOff>773206</xdr:colOff>
      <xdr:row>0</xdr:row>
      <xdr:rowOff>930088</xdr:rowOff>
    </xdr:to>
    <xdr:sp macro="" textlink="">
      <xdr:nvSpPr>
        <xdr:cNvPr id="4" name="AutoShape 12"/>
        <xdr:cNvSpPr>
          <a:spLocks noChangeArrowheads="1"/>
        </xdr:cNvSpPr>
      </xdr:nvSpPr>
      <xdr:spPr bwMode="auto">
        <a:xfrm>
          <a:off x="5860675" y="78439"/>
          <a:ext cx="4796119" cy="851649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pt-BR" sz="1100" b="1" i="0" strike="noStrike">
              <a:solidFill>
                <a:srgbClr val="000000"/>
              </a:solidFill>
              <a:latin typeface="+mn-lt"/>
              <a:cs typeface="Arial"/>
            </a:rPr>
            <a:t>LOCAL </a:t>
          </a:r>
          <a:r>
            <a:rPr lang="pt-BR" sz="11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r>
            <a:rPr lang="pt-BR" sz="1100" b="0" i="0" strike="noStrike">
              <a:solidFill>
                <a:srgbClr val="000000"/>
              </a:solidFill>
              <a:latin typeface="+mn-lt"/>
              <a:cs typeface="Arial"/>
            </a:rPr>
            <a:t>SERVIÇOS DE MANUTENÇÃO PREVENTIVA E CORRETIVA REFERENTE AO</a:t>
          </a:r>
          <a:r>
            <a:rPr lang="pt-BR" sz="1100" b="0" i="0" strike="noStrike" baseline="0">
              <a:solidFill>
                <a:srgbClr val="000000"/>
              </a:solidFill>
              <a:latin typeface="+mn-lt"/>
              <a:cs typeface="Arial"/>
            </a:rPr>
            <a:t> SISTEMA DE AR CONDICIONADO </a:t>
          </a:r>
          <a:r>
            <a:rPr lang="pt-BR" sz="1100" b="0" i="0" strike="noStrike">
              <a:solidFill>
                <a:srgbClr val="000000"/>
              </a:solidFill>
              <a:latin typeface="+mn-lt"/>
              <a:cs typeface="Arial"/>
            </a:rPr>
            <a:t>DO METRÔ-DF.</a:t>
          </a:r>
        </a:p>
        <a:p>
          <a:pPr algn="l" rtl="0">
            <a:defRPr sz="1000"/>
          </a:pPr>
          <a:r>
            <a:rPr lang="pt-BR" sz="1100" b="1" i="0" strike="noStrike" baseline="0">
              <a:solidFill>
                <a:srgbClr val="000000"/>
              </a:solidFill>
              <a:latin typeface="+mn-lt"/>
              <a:cs typeface="Arial"/>
            </a:rPr>
            <a:t>CURVA ABC - JANEIRO / 2017</a:t>
          </a:r>
          <a:endParaRPr lang="pt-BR" sz="1100" b="1" i="0" strike="noStrike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</xdr:col>
      <xdr:colOff>117101</xdr:colOff>
      <xdr:row>0</xdr:row>
      <xdr:rowOff>1011090</xdr:rowOff>
    </xdr:from>
    <xdr:to>
      <xdr:col>12</xdr:col>
      <xdr:colOff>855969</xdr:colOff>
      <xdr:row>0</xdr:row>
      <xdr:rowOff>1402976</xdr:rowOff>
    </xdr:to>
    <xdr:sp macro="" textlink="">
      <xdr:nvSpPr>
        <xdr:cNvPr id="5" name="AutoShape 13"/>
        <xdr:cNvSpPr>
          <a:spLocks noChangeArrowheads="1"/>
        </xdr:cNvSpPr>
      </xdr:nvSpPr>
      <xdr:spPr bwMode="auto">
        <a:xfrm>
          <a:off x="9081807" y="1011090"/>
          <a:ext cx="3024868" cy="391886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+mn-lt"/>
              <a:cs typeface="Arial"/>
            </a:rPr>
            <a:t>INTERESSADO </a:t>
          </a: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CIA.</a:t>
          </a:r>
          <a:r>
            <a:rPr lang="pt-BR" sz="1000" b="0" i="0" strike="noStrike" baseline="0">
              <a:solidFill>
                <a:srgbClr val="000000"/>
              </a:solidFill>
              <a:latin typeface="Arial"/>
              <a:cs typeface="Arial"/>
            </a:rPr>
            <a:t> DO METROPOLITANO DO DF- METRÔ/DF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22412</xdr:colOff>
      <xdr:row>0</xdr:row>
      <xdr:rowOff>28575</xdr:rowOff>
    </xdr:from>
    <xdr:to>
      <xdr:col>1</xdr:col>
      <xdr:colOff>4773706</xdr:colOff>
      <xdr:row>0</xdr:row>
      <xdr:rowOff>593912</xdr:rowOff>
    </xdr:to>
    <xdr:sp macro="" textlink="">
      <xdr:nvSpPr>
        <xdr:cNvPr id="7" name="AutoShape 13"/>
        <xdr:cNvSpPr>
          <a:spLocks noChangeArrowheads="1"/>
        </xdr:cNvSpPr>
      </xdr:nvSpPr>
      <xdr:spPr bwMode="auto">
        <a:xfrm>
          <a:off x="1075765" y="28575"/>
          <a:ext cx="4751294" cy="56533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1400" b="1" i="0" strike="noStrike" baseline="0">
              <a:solidFill>
                <a:srgbClr val="000000"/>
              </a:solidFill>
              <a:latin typeface="+mn-lt"/>
              <a:cs typeface="Arial"/>
            </a:rPr>
            <a:t> COMPANHIA DO METROPOLITANO DO DISTRITO FEDERAL</a:t>
          </a:r>
          <a:r>
            <a:rPr lang="pt-BR" sz="1400" b="1" i="0" strike="noStrike">
              <a:solidFill>
                <a:srgbClr val="000000"/>
              </a:solidFill>
              <a:latin typeface="+mn-lt"/>
              <a:cs typeface="Arial"/>
            </a:rPr>
            <a:t>  </a:t>
          </a:r>
          <a:r>
            <a:rPr lang="pt-BR" sz="1200" b="1" i="0" strike="noStrike">
              <a:solidFill>
                <a:srgbClr val="000000"/>
              </a:solidFill>
              <a:latin typeface="+mn-lt"/>
              <a:cs typeface="Arial"/>
            </a:rPr>
            <a:t>	</a:t>
          </a:r>
        </a:p>
        <a:p>
          <a:pPr algn="l" rtl="0">
            <a:defRPr sz="1000"/>
          </a:pPr>
          <a:endParaRPr lang="pt-BR" sz="1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89647</xdr:colOff>
      <xdr:row>0</xdr:row>
      <xdr:rowOff>851647</xdr:rowOff>
    </xdr:from>
    <xdr:to>
      <xdr:col>1</xdr:col>
      <xdr:colOff>4840941</xdr:colOff>
      <xdr:row>0</xdr:row>
      <xdr:rowOff>1416984</xdr:rowOff>
    </xdr:to>
    <xdr:sp macro="" textlink="">
      <xdr:nvSpPr>
        <xdr:cNvPr id="9" name="AutoShape 13"/>
        <xdr:cNvSpPr>
          <a:spLocks noChangeArrowheads="1"/>
        </xdr:cNvSpPr>
      </xdr:nvSpPr>
      <xdr:spPr bwMode="auto">
        <a:xfrm>
          <a:off x="1143000" y="851647"/>
          <a:ext cx="4751294" cy="56533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1400" b="1" i="0" strike="noStrike" baseline="0">
              <a:solidFill>
                <a:srgbClr val="000000"/>
              </a:solidFill>
              <a:latin typeface="+mn-lt"/>
              <a:cs typeface="Arial"/>
            </a:rPr>
            <a:t>CURVA ABC - 12 MESES</a:t>
          </a:r>
          <a:endParaRPr lang="pt-BR" sz="12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pt-BR" sz="1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73477</xdr:colOff>
      <xdr:row>2</xdr:row>
      <xdr:rowOff>39119</xdr:rowOff>
    </xdr:from>
    <xdr:to>
      <xdr:col>1</xdr:col>
      <xdr:colOff>678656</xdr:colOff>
      <xdr:row>5</xdr:row>
      <xdr:rowOff>204107</xdr:rowOff>
    </xdr:to>
    <xdr:pic>
      <xdr:nvPicPr>
        <xdr:cNvPr id="2" name="Imagem 1" descr="marca_0.tmp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477" y="551088"/>
          <a:ext cx="1152867" cy="133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1</xdr:col>
      <xdr:colOff>1332</xdr:colOff>
      <xdr:row>0</xdr:row>
      <xdr:rowOff>1190626</xdr:rowOff>
    </xdr:to>
    <xdr:pic>
      <xdr:nvPicPr>
        <xdr:cNvPr id="2" name="Picture 14" descr="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33350"/>
          <a:ext cx="1134807" cy="1057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43143</xdr:colOff>
      <xdr:row>0</xdr:row>
      <xdr:rowOff>714375</xdr:rowOff>
    </xdr:from>
    <xdr:to>
      <xdr:col>2</xdr:col>
      <xdr:colOff>285750</xdr:colOff>
      <xdr:row>0</xdr:row>
      <xdr:rowOff>1381125</xdr:rowOff>
    </xdr:to>
    <xdr:sp macro="" textlink="">
      <xdr:nvSpPr>
        <xdr:cNvPr id="3" name="AutoShape 12"/>
        <xdr:cNvSpPr>
          <a:spLocks noChangeArrowheads="1"/>
        </xdr:cNvSpPr>
      </xdr:nvSpPr>
      <xdr:spPr bwMode="auto">
        <a:xfrm>
          <a:off x="1205193" y="714375"/>
          <a:ext cx="4919382" cy="666750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+mn-lt"/>
              <a:cs typeface="Arial"/>
            </a:rPr>
            <a:t>LOCAL </a:t>
          </a: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+mn-lt"/>
              <a:cs typeface="Arial"/>
            </a:rPr>
            <a:t>SERVIÇOS DE MANUTENÇÃO PREVENTIVA E CORRETIVA REFERENTE AO</a:t>
          </a:r>
          <a:r>
            <a:rPr lang="pt-BR" sz="900" b="0" i="0" strike="noStrike" baseline="0">
              <a:solidFill>
                <a:srgbClr val="000000"/>
              </a:solidFill>
              <a:latin typeface="+mn-lt"/>
              <a:cs typeface="Arial"/>
            </a:rPr>
            <a:t> SISTEMA DE CLIMATIZAÇÃO NA</a:t>
          </a:r>
          <a:r>
            <a:rPr lang="pt-BR" sz="900" b="0" i="0" strike="noStrike">
              <a:solidFill>
                <a:srgbClr val="000000"/>
              </a:solidFill>
              <a:latin typeface="+mn-lt"/>
              <a:cs typeface="Arial"/>
            </a:rPr>
            <a:t>S EDIFICAÇÕES DO METRÔ-DF.</a:t>
          </a:r>
          <a:r>
            <a:rPr lang="pt-BR" sz="900" b="1" i="0" strike="noStrike">
              <a:solidFill>
                <a:srgbClr val="000000"/>
              </a:solidFill>
              <a:latin typeface="+mn-lt"/>
              <a:cs typeface="Arial"/>
            </a:rPr>
            <a:t>-</a:t>
          </a:r>
          <a:r>
            <a:rPr lang="pt-BR" sz="900" b="1" i="0" strike="noStrike" baseline="0">
              <a:solidFill>
                <a:srgbClr val="000000"/>
              </a:solidFill>
              <a:latin typeface="+mn-lt"/>
              <a:cs typeface="Arial"/>
            </a:rPr>
            <a:t>  CPU - COMPOSIÇÃO DE PREÇOS UNITÁRIO</a:t>
          </a:r>
          <a:endParaRPr lang="pt-BR" sz="900" b="1" i="0" strike="noStrike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3</xdr:col>
      <xdr:colOff>0</xdr:colOff>
      <xdr:row>0</xdr:row>
      <xdr:rowOff>760639</xdr:rowOff>
    </xdr:from>
    <xdr:to>
      <xdr:col>5</xdr:col>
      <xdr:colOff>523875</xdr:colOff>
      <xdr:row>0</xdr:row>
      <xdr:rowOff>1419225</xdr:rowOff>
    </xdr:to>
    <xdr:sp macro="" textlink="">
      <xdr:nvSpPr>
        <xdr:cNvPr id="4" name="AutoShape 13"/>
        <xdr:cNvSpPr>
          <a:spLocks noChangeArrowheads="1"/>
        </xdr:cNvSpPr>
      </xdr:nvSpPr>
      <xdr:spPr bwMode="auto">
        <a:xfrm>
          <a:off x="6334125" y="760639"/>
          <a:ext cx="1771650" cy="658586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+mn-lt"/>
              <a:cs typeface="Arial"/>
            </a:rPr>
            <a:t>INTERESSADO </a:t>
          </a: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:</a:t>
          </a:r>
        </a:p>
        <a:p>
          <a:pPr algn="l" rtl="0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CIA.</a:t>
          </a:r>
          <a:r>
            <a:rPr lang="pt-BR" sz="1000" b="0" i="0" strike="noStrike" baseline="0">
              <a:solidFill>
                <a:srgbClr val="000000"/>
              </a:solidFill>
              <a:latin typeface="Arial"/>
              <a:cs typeface="Arial"/>
            </a:rPr>
            <a:t> DO METROPOLITANO DO DF- METRÔ/DF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22412</xdr:colOff>
      <xdr:row>0</xdr:row>
      <xdr:rowOff>28575</xdr:rowOff>
    </xdr:from>
    <xdr:to>
      <xdr:col>3</xdr:col>
      <xdr:colOff>123825</xdr:colOff>
      <xdr:row>0</xdr:row>
      <xdr:rowOff>600075</xdr:rowOff>
    </xdr:to>
    <xdr:sp macro="" textlink="">
      <xdr:nvSpPr>
        <xdr:cNvPr id="6" name="AutoShape 13"/>
        <xdr:cNvSpPr>
          <a:spLocks noChangeArrowheads="1"/>
        </xdr:cNvSpPr>
      </xdr:nvSpPr>
      <xdr:spPr bwMode="auto">
        <a:xfrm>
          <a:off x="1184462" y="28575"/>
          <a:ext cx="5273488" cy="5715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t-BR" sz="1400" b="1" i="0" strike="noStrike" baseline="0">
              <a:solidFill>
                <a:srgbClr val="000000"/>
              </a:solidFill>
              <a:latin typeface="+mn-lt"/>
              <a:cs typeface="Arial"/>
            </a:rPr>
            <a:t> COMPANHIA DO METROPOLITANO DO DISTRITO FEDERAL</a:t>
          </a:r>
          <a:r>
            <a:rPr lang="pt-BR" sz="1400" b="1" i="0" strike="noStrike">
              <a:solidFill>
                <a:srgbClr val="000000"/>
              </a:solidFill>
              <a:latin typeface="+mn-lt"/>
              <a:cs typeface="Arial"/>
            </a:rPr>
            <a:t>  </a:t>
          </a:r>
          <a:r>
            <a:rPr lang="pt-BR" sz="1200" b="1" i="0" strike="noStrike">
              <a:solidFill>
                <a:srgbClr val="000000"/>
              </a:solidFill>
              <a:latin typeface="+mn-lt"/>
              <a:cs typeface="Arial"/>
            </a:rPr>
            <a:t>	</a:t>
          </a:r>
        </a:p>
        <a:p>
          <a:pPr algn="l" rtl="0">
            <a:defRPr sz="1000"/>
          </a:pPr>
          <a:endParaRPr lang="pt-BR" sz="1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2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1</xdr:row>
      <xdr:rowOff>100854</xdr:rowOff>
    </xdr:from>
    <xdr:to>
      <xdr:col>1</xdr:col>
      <xdr:colOff>15103</xdr:colOff>
      <xdr:row>1</xdr:row>
      <xdr:rowOff>1050920</xdr:rowOff>
    </xdr:to>
    <xdr:pic>
      <xdr:nvPicPr>
        <xdr:cNvPr id="2" name="Picture 14" descr="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677" y="302560"/>
          <a:ext cx="1019735" cy="950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361949</xdr:colOff>
      <xdr:row>1</xdr:row>
      <xdr:rowOff>72118</xdr:rowOff>
    </xdr:from>
    <xdr:to>
      <xdr:col>9</xdr:col>
      <xdr:colOff>171450</xdr:colOff>
      <xdr:row>1</xdr:row>
      <xdr:rowOff>1032621</xdr:rowOff>
    </xdr:to>
    <xdr:sp macro="" textlink="">
      <xdr:nvSpPr>
        <xdr:cNvPr id="3" name="AutoShape 12"/>
        <xdr:cNvSpPr>
          <a:spLocks noChangeArrowheads="1"/>
        </xdr:cNvSpPr>
      </xdr:nvSpPr>
      <xdr:spPr bwMode="auto">
        <a:xfrm>
          <a:off x="1381124" y="272143"/>
          <a:ext cx="8048626" cy="960503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pt-BR" sz="12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SERVIÇOS DE MANUTENÇÃO DO SISTEMA DE AR CONDICIONADO - METRÔ-DF</a:t>
          </a:r>
        </a:p>
        <a:p>
          <a:pPr algn="l" rtl="0">
            <a:defRPr sz="1000"/>
          </a:pPr>
          <a:endParaRPr lang="pt-BR" sz="12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t-BR" sz="12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ANEXO VIII - RELAÇÃO DE SALÁRIOS E ENCARGOS SOCIAIS  UTILIZADOS - DATA-BASE: JANEIRO. / 2017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57311</xdr:rowOff>
    </xdr:from>
    <xdr:to>
      <xdr:col>0</xdr:col>
      <xdr:colOff>1164826</xdr:colOff>
      <xdr:row>4</xdr:row>
      <xdr:rowOff>150127</xdr:rowOff>
    </xdr:to>
    <xdr:pic>
      <xdr:nvPicPr>
        <xdr:cNvPr id="4" name="Picture 14" descr="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57311"/>
          <a:ext cx="888601" cy="950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1311647</xdr:colOff>
      <xdr:row>0</xdr:row>
      <xdr:rowOff>123825</xdr:rowOff>
    </xdr:from>
    <xdr:to>
      <xdr:col>5</xdr:col>
      <xdr:colOff>514350</xdr:colOff>
      <xdr:row>4</xdr:row>
      <xdr:rowOff>161925</xdr:rowOff>
    </xdr:to>
    <xdr:sp macro="" textlink="">
      <xdr:nvSpPr>
        <xdr:cNvPr id="5" name="AutoShape 12"/>
        <xdr:cNvSpPr>
          <a:spLocks noChangeArrowheads="1"/>
        </xdr:cNvSpPr>
      </xdr:nvSpPr>
      <xdr:spPr bwMode="auto">
        <a:xfrm>
          <a:off x="1311647" y="123825"/>
          <a:ext cx="7203703" cy="800100"/>
        </a:xfrm>
        <a:prstGeom prst="roundRect">
          <a:avLst>
            <a:gd name="adj" fmla="val 16667"/>
          </a:avLst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SERVIÇOS DE MANUTENÇÃO DO SISTEMA DE AR CONDICIONADO - METRÔ-DF</a:t>
          </a:r>
        </a:p>
        <a:p>
          <a:pPr algn="l" rtl="0">
            <a:defRPr sz="1000"/>
          </a:pPr>
          <a:endParaRPr lang="pt-BR" sz="10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ANEXO XIV - ENCARGOS</a:t>
          </a:r>
          <a:r>
            <a:rPr lang="pt-BR" sz="1000" b="1" i="0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COMPLEMENTARES, POR CARGO E FUNÇÃO. 	                    DATA BASE: JANEIRO./2017</a:t>
          </a:r>
          <a:endParaRPr lang="pt-BR" sz="10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ifs11\area%20comum\TIAGO%20OMVP\RESPOSTA%20TCDF\vers&#227;o%20para%20formata&#231;&#227;o\Planilha%20Or&#231;amentaria,%20%20e%20Curva%20ABC%20-%20ANEXO%20I%20E%20IX%20VERSAO_07_05_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Orçamentária"/>
      <sheetName val="Curva ABC"/>
      <sheetName val="Comp. P.Unitários (Próprias)"/>
      <sheetName val="Plan1"/>
      <sheetName val="BDI - LDI"/>
      <sheetName val="Salários Profissionais"/>
    </sheetNames>
    <sheetDataSet>
      <sheetData sheetId="0">
        <row r="11">
          <cell r="B11" t="str">
            <v>MDF-Man-0001/15</v>
          </cell>
          <cell r="E11" t="str">
            <v>un</v>
          </cell>
        </row>
        <row r="12">
          <cell r="D12" t="str">
            <v>Taxa Anotação de Responsabilidade Técnica do Engenheiro - ART CREA / DF</v>
          </cell>
          <cell r="E12" t="str">
            <v>un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1"/>
  <dimension ref="A1:Y184"/>
  <sheetViews>
    <sheetView showGridLines="0" tabSelected="1" view="pageBreakPreview" topLeftCell="A44" zoomScale="70" zoomScaleNormal="90" zoomScaleSheetLayoutView="70" zoomScalePageLayoutView="85" workbookViewId="0">
      <selection activeCell="G11" sqref="B11:H153"/>
    </sheetView>
  </sheetViews>
  <sheetFormatPr defaultRowHeight="15"/>
  <cols>
    <col min="1" max="1" width="8.7109375" style="145" bestFit="1" customWidth="1"/>
    <col min="2" max="2" width="22.5703125" style="138" customWidth="1"/>
    <col min="3" max="3" width="33.85546875" style="144" customWidth="1"/>
    <col min="4" max="4" width="68.28515625" style="133" customWidth="1"/>
    <col min="5" max="5" width="5.85546875" style="134" customWidth="1"/>
    <col min="6" max="6" width="11.28515625" style="135" customWidth="1"/>
    <col min="7" max="7" width="13" style="135" customWidth="1"/>
    <col min="8" max="8" width="22.5703125" style="139" customWidth="1"/>
    <col min="9" max="9" width="16" style="38" hidden="1" customWidth="1"/>
    <col min="10" max="10" width="23.5703125" style="38" hidden="1" customWidth="1"/>
    <col min="11" max="11" width="19.5703125" style="38" hidden="1" customWidth="1"/>
    <col min="12" max="12" width="19.42578125" style="96" hidden="1" customWidth="1"/>
    <col min="13" max="13" width="12.42578125" style="1" hidden="1" customWidth="1"/>
    <col min="14" max="14" width="21.7109375" style="5" hidden="1" customWidth="1"/>
    <col min="15" max="15" width="29.28515625" style="1" hidden="1" customWidth="1"/>
    <col min="16" max="16" width="12.42578125" style="1" hidden="1" customWidth="1"/>
    <col min="17" max="17" width="17.140625" hidden="1" customWidth="1"/>
    <col min="18" max="18" width="17.28515625" hidden="1" customWidth="1"/>
    <col min="19" max="19" width="10.7109375" style="135" hidden="1" customWidth="1"/>
    <col min="20" max="20" width="10" hidden="1" customWidth="1"/>
    <col min="21" max="21" width="17.28515625" style="7" hidden="1" customWidth="1"/>
    <col min="22" max="23" width="17.28515625" style="7" customWidth="1"/>
    <col min="24" max="24" width="23" style="509" customWidth="1"/>
    <col min="25" max="25" width="12.140625" customWidth="1"/>
  </cols>
  <sheetData>
    <row r="1" spans="1:24" ht="16.5" customHeight="1">
      <c r="A1" s="140" t="s">
        <v>9</v>
      </c>
      <c r="B1" s="780"/>
      <c r="C1" s="797" t="s">
        <v>10</v>
      </c>
      <c r="D1" s="798"/>
      <c r="E1" s="799"/>
      <c r="F1" s="126"/>
      <c r="G1" s="127"/>
      <c r="H1" s="128"/>
      <c r="I1" s="39"/>
      <c r="J1" s="39"/>
      <c r="K1" s="39"/>
      <c r="L1" s="88"/>
      <c r="M1" s="20"/>
      <c r="N1" s="20"/>
      <c r="O1" s="20"/>
      <c r="P1" s="20"/>
      <c r="S1" s="127"/>
      <c r="U1" s="770" t="s">
        <v>8</v>
      </c>
      <c r="V1" s="101"/>
      <c r="W1" s="101"/>
    </row>
    <row r="2" spans="1:24" ht="17.25" customHeight="1">
      <c r="A2" s="141"/>
      <c r="B2" s="781"/>
      <c r="C2" s="785"/>
      <c r="D2" s="786"/>
      <c r="E2" s="787"/>
      <c r="F2" s="785"/>
      <c r="G2" s="786"/>
      <c r="H2" s="787"/>
      <c r="I2" s="40"/>
      <c r="J2" s="40"/>
      <c r="K2" s="40"/>
      <c r="L2" s="89"/>
      <c r="M2" s="21"/>
      <c r="N2" s="21"/>
      <c r="O2" s="21"/>
      <c r="P2" s="21"/>
      <c r="S2"/>
      <c r="U2" s="771"/>
      <c r="V2" s="101"/>
      <c r="W2" s="101"/>
    </row>
    <row r="3" spans="1:24" ht="14.25" customHeight="1">
      <c r="A3" s="141"/>
      <c r="B3" s="781"/>
      <c r="C3" s="785"/>
      <c r="D3" s="786"/>
      <c r="E3" s="787"/>
      <c r="F3" s="791" t="s">
        <v>692</v>
      </c>
      <c r="G3" s="792"/>
      <c r="H3" s="793"/>
      <c r="I3" s="41"/>
      <c r="J3" s="41"/>
      <c r="K3" s="41"/>
      <c r="L3" s="90"/>
      <c r="M3" s="21"/>
      <c r="N3" s="21"/>
      <c r="O3" s="21" t="s">
        <v>36</v>
      </c>
      <c r="P3" s="21"/>
      <c r="S3"/>
      <c r="U3" s="771"/>
      <c r="V3" s="101"/>
      <c r="W3" s="101"/>
    </row>
    <row r="4" spans="1:24" ht="17.25" customHeight="1" thickBot="1">
      <c r="A4" s="141"/>
      <c r="B4" s="781"/>
      <c r="C4" s="800"/>
      <c r="D4" s="801"/>
      <c r="E4" s="802"/>
      <c r="F4" s="794"/>
      <c r="G4" s="795"/>
      <c r="H4" s="796"/>
      <c r="I4" s="39"/>
      <c r="J4" s="39"/>
      <c r="K4" s="39"/>
      <c r="L4" s="88"/>
      <c r="M4" s="20"/>
      <c r="N4" s="20"/>
      <c r="O4" s="20"/>
      <c r="P4" s="20"/>
      <c r="S4"/>
      <c r="U4" s="772"/>
      <c r="V4" s="101"/>
      <c r="W4" s="101"/>
    </row>
    <row r="5" spans="1:24" ht="37.5" customHeight="1" thickBot="1">
      <c r="A5" s="142"/>
      <c r="B5" s="129"/>
      <c r="C5" s="782" t="s">
        <v>546</v>
      </c>
      <c r="D5" s="783"/>
      <c r="E5" s="783"/>
      <c r="F5" s="783"/>
      <c r="G5" s="783"/>
      <c r="H5" s="784"/>
      <c r="I5" s="36"/>
      <c r="J5" s="36"/>
      <c r="K5" s="36"/>
      <c r="L5" s="91"/>
      <c r="M5" s="22"/>
      <c r="N5" s="22"/>
      <c r="O5" s="22"/>
      <c r="P5" s="22"/>
      <c r="S5"/>
      <c r="U5"/>
      <c r="V5"/>
      <c r="W5"/>
      <c r="X5" s="510"/>
    </row>
    <row r="6" spans="1:24" ht="32.25" customHeight="1" thickBot="1">
      <c r="A6" s="788" t="s">
        <v>547</v>
      </c>
      <c r="B6" s="789"/>
      <c r="C6" s="789"/>
      <c r="D6" s="789"/>
      <c r="E6" s="789"/>
      <c r="F6" s="789"/>
      <c r="G6" s="789"/>
      <c r="H6" s="790"/>
      <c r="I6" s="46"/>
      <c r="J6" s="46"/>
      <c r="K6" s="46"/>
      <c r="L6" s="92"/>
      <c r="M6" s="23"/>
      <c r="N6" s="23"/>
      <c r="O6" s="23"/>
      <c r="P6" s="23"/>
      <c r="S6"/>
      <c r="U6" s="47"/>
      <c r="V6" s="46"/>
      <c r="W6" s="46"/>
    </row>
    <row r="7" spans="1:24" ht="36.75" customHeight="1" thickBot="1">
      <c r="A7" s="291" t="s">
        <v>3</v>
      </c>
      <c r="B7" s="292" t="s">
        <v>4</v>
      </c>
      <c r="C7" s="292" t="s">
        <v>11</v>
      </c>
      <c r="D7" s="293" t="s">
        <v>5</v>
      </c>
      <c r="E7" s="293" t="s">
        <v>7</v>
      </c>
      <c r="F7" s="293" t="s">
        <v>6</v>
      </c>
      <c r="G7" s="294" t="s">
        <v>16</v>
      </c>
      <c r="H7" s="294" t="s">
        <v>501</v>
      </c>
      <c r="I7" s="42"/>
      <c r="J7" s="42"/>
      <c r="K7" s="42"/>
      <c r="L7" s="93"/>
      <c r="M7" s="8"/>
      <c r="N7" s="28" t="s">
        <v>11</v>
      </c>
      <c r="O7" s="8"/>
      <c r="P7" s="8"/>
      <c r="S7" s="294" t="s">
        <v>16</v>
      </c>
      <c r="U7" s="45" t="s">
        <v>4</v>
      </c>
      <c r="V7" s="102"/>
      <c r="W7" s="102"/>
      <c r="X7" s="510"/>
    </row>
    <row r="8" spans="1:24" s="53" customFormat="1" ht="27" customHeight="1">
      <c r="A8" s="370"/>
      <c r="B8" s="371"/>
      <c r="C8" s="371"/>
      <c r="D8" s="372"/>
      <c r="E8" s="372"/>
      <c r="F8" s="372"/>
      <c r="G8" s="373"/>
      <c r="H8" s="374"/>
      <c r="I8" s="55"/>
      <c r="J8" s="55"/>
      <c r="K8" s="55"/>
      <c r="L8" s="93"/>
      <c r="M8" s="56"/>
      <c r="N8" s="57"/>
      <c r="O8" s="56"/>
      <c r="P8" s="56"/>
      <c r="S8" s="130"/>
      <c r="U8" s="54"/>
      <c r="V8" s="103"/>
      <c r="W8" s="103"/>
      <c r="X8" s="511"/>
    </row>
    <row r="9" spans="1:24" ht="27" customHeight="1">
      <c r="A9" s="375" t="s">
        <v>18</v>
      </c>
      <c r="B9" s="778" t="s">
        <v>625</v>
      </c>
      <c r="C9" s="779"/>
      <c r="D9" s="779"/>
      <c r="E9" s="779"/>
      <c r="F9" s="779"/>
      <c r="G9" s="779"/>
      <c r="H9" s="779"/>
      <c r="I9" s="37"/>
      <c r="J9" s="37"/>
      <c r="K9" s="37"/>
      <c r="L9" s="94"/>
      <c r="M9" s="24"/>
      <c r="N9" s="27"/>
      <c r="O9" s="24"/>
      <c r="P9" s="24"/>
      <c r="S9" s="63"/>
      <c r="U9" s="62" t="s">
        <v>119</v>
      </c>
      <c r="V9" s="104"/>
      <c r="W9" s="104"/>
    </row>
    <row r="10" spans="1:24" ht="27" customHeight="1">
      <c r="A10" s="376" t="s">
        <v>19</v>
      </c>
      <c r="B10" s="377" t="s">
        <v>117</v>
      </c>
      <c r="C10" s="378"/>
      <c r="D10" s="379"/>
      <c r="E10" s="380"/>
      <c r="F10" s="381"/>
      <c r="G10" s="382"/>
      <c r="H10" s="383"/>
      <c r="I10" s="43"/>
      <c r="J10" s="43"/>
      <c r="K10" s="43"/>
      <c r="L10" s="95"/>
      <c r="M10" s="24"/>
      <c r="N10" s="25"/>
      <c r="O10" s="24"/>
      <c r="P10" s="24"/>
      <c r="S10" s="34"/>
      <c r="U10" s="33" t="s">
        <v>117</v>
      </c>
      <c r="V10" s="60"/>
      <c r="W10" s="60"/>
    </row>
    <row r="11" spans="1:24" ht="39" customHeight="1">
      <c r="A11" s="384" t="s">
        <v>20</v>
      </c>
      <c r="B11" s="385" t="str">
        <f>U11&amp;"/17"</f>
        <v>MDF-Man-0001/17</v>
      </c>
      <c r="C11" s="386" t="s">
        <v>23</v>
      </c>
      <c r="D11" s="387" t="s">
        <v>498</v>
      </c>
      <c r="E11" s="388" t="s">
        <v>0</v>
      </c>
      <c r="F11" s="389">
        <v>1</v>
      </c>
      <c r="G11" s="389">
        <f>CPU_P.UNITARIO!F2</f>
        <v>270.32948799999997</v>
      </c>
      <c r="H11" s="390">
        <f>G11*F11</f>
        <v>270.32948799999997</v>
      </c>
      <c r="I11" s="44"/>
      <c r="J11" s="44"/>
      <c r="K11" s="44"/>
      <c r="L11" s="95"/>
      <c r="M11" s="24"/>
      <c r="N11" s="29" t="s">
        <v>23</v>
      </c>
      <c r="O11" s="24"/>
      <c r="P11" s="24"/>
      <c r="Q11" t="str">
        <f t="shared" ref="Q11:Q23" si="0">U11&amp;"/17"</f>
        <v>MDF-Man-0001/17</v>
      </c>
      <c r="S11" s="347">
        <f>CPU_P.UNITARIO!R2</f>
        <v>0</v>
      </c>
      <c r="U11" s="10" t="s">
        <v>36</v>
      </c>
      <c r="V11" s="105"/>
      <c r="W11" s="105"/>
    </row>
    <row r="12" spans="1:24" ht="39" customHeight="1">
      <c r="A12" s="384" t="s">
        <v>21</v>
      </c>
      <c r="B12" s="385" t="str">
        <f>U12&amp;"/17"</f>
        <v>MDF-Man-0002/17</v>
      </c>
      <c r="C12" s="386" t="s">
        <v>23</v>
      </c>
      <c r="D12" s="387" t="s">
        <v>499</v>
      </c>
      <c r="E12" s="388" t="s">
        <v>0</v>
      </c>
      <c r="F12" s="389">
        <v>1</v>
      </c>
      <c r="G12" s="389">
        <f>CPU_P.UNITARIO!F20</f>
        <v>102.597352</v>
      </c>
      <c r="H12" s="390">
        <f>G12*F12</f>
        <v>102.597352</v>
      </c>
      <c r="I12" s="44"/>
      <c r="J12" s="44"/>
      <c r="K12" s="44"/>
      <c r="L12" s="95"/>
      <c r="M12" s="24"/>
      <c r="N12" s="29" t="s">
        <v>23</v>
      </c>
      <c r="O12" s="24"/>
      <c r="P12" s="24"/>
      <c r="Q12" s="125" t="str">
        <f t="shared" si="0"/>
        <v>MDF-Man-0002/17</v>
      </c>
      <c r="S12" s="347">
        <f>CPU_P.UNITARIO!R20</f>
        <v>0</v>
      </c>
      <c r="U12" s="10" t="s">
        <v>37</v>
      </c>
      <c r="V12" s="105"/>
      <c r="W12" s="105"/>
    </row>
    <row r="13" spans="1:24" s="53" customFormat="1" ht="27" customHeight="1">
      <c r="A13" s="391"/>
      <c r="B13" s="392"/>
      <c r="C13" s="393"/>
      <c r="D13" s="394" t="s">
        <v>113</v>
      </c>
      <c r="E13" s="395"/>
      <c r="F13" s="396"/>
      <c r="G13" s="396"/>
      <c r="H13" s="482">
        <f>SUM(H11:H12)</f>
        <v>372.92683999999997</v>
      </c>
      <c r="I13" s="43"/>
      <c r="J13" s="43"/>
      <c r="K13" s="43"/>
      <c r="L13" s="95"/>
      <c r="M13" s="51"/>
      <c r="N13" s="52"/>
      <c r="O13" s="51"/>
      <c r="P13" s="51"/>
      <c r="Q13" s="125" t="str">
        <f t="shared" si="0"/>
        <v>/17</v>
      </c>
      <c r="S13" s="59"/>
      <c r="U13" s="58"/>
      <c r="V13" s="106"/>
      <c r="W13" s="106"/>
      <c r="X13" s="512"/>
    </row>
    <row r="14" spans="1:24" ht="33" customHeight="1">
      <c r="A14" s="397" t="s">
        <v>300</v>
      </c>
      <c r="B14" s="778" t="s">
        <v>322</v>
      </c>
      <c r="C14" s="779"/>
      <c r="D14" s="779"/>
      <c r="E14" s="779"/>
      <c r="F14" s="779"/>
      <c r="G14" s="779"/>
      <c r="H14" s="779"/>
      <c r="I14" s="37"/>
      <c r="J14" s="37"/>
      <c r="K14" s="37"/>
      <c r="L14" s="94"/>
      <c r="M14" s="24"/>
      <c r="N14" s="19"/>
      <c r="O14" s="24"/>
      <c r="P14" s="24"/>
      <c r="Q14" s="125" t="str">
        <f t="shared" si="0"/>
        <v>IMPLANTAÇÃO / ADMINISTRAÇÃO (MANUTENÇÃO PREVENTIVA / CORRETIVA):/17</v>
      </c>
      <c r="S14" s="12"/>
      <c r="U14" s="64" t="s">
        <v>120</v>
      </c>
      <c r="V14" s="104"/>
      <c r="W14" s="104"/>
    </row>
    <row r="15" spans="1:24" s="53" customFormat="1" ht="27" customHeight="1">
      <c r="A15" s="399" t="s">
        <v>27</v>
      </c>
      <c r="B15" s="400" t="s">
        <v>604</v>
      </c>
      <c r="C15" s="401"/>
      <c r="D15" s="402"/>
      <c r="E15" s="403"/>
      <c r="F15" s="398"/>
      <c r="G15" s="404"/>
      <c r="H15" s="405"/>
      <c r="I15" s="43"/>
      <c r="J15" s="43"/>
      <c r="K15" s="43"/>
      <c r="L15" s="95"/>
      <c r="M15" s="51"/>
      <c r="N15" s="60"/>
      <c r="O15" s="51"/>
      <c r="P15" s="51"/>
      <c r="Q15" s="125" t="str">
        <f t="shared" si="0"/>
        <v>MDF-Man-0003/17</v>
      </c>
      <c r="S15" s="35"/>
      <c r="U15" s="10" t="s">
        <v>617</v>
      </c>
      <c r="V15" s="60"/>
      <c r="W15" s="60"/>
      <c r="X15" s="512"/>
    </row>
    <row r="16" spans="1:24" ht="62.25" customHeight="1">
      <c r="A16" s="384" t="s">
        <v>28</v>
      </c>
      <c r="B16" s="385" t="str">
        <f>U16&amp;"/17"</f>
        <v>MDF-Man-0003/17</v>
      </c>
      <c r="C16" s="406" t="s">
        <v>261</v>
      </c>
      <c r="D16" s="387" t="s">
        <v>518</v>
      </c>
      <c r="E16" s="388" t="s">
        <v>12</v>
      </c>
      <c r="F16" s="389">
        <v>12</v>
      </c>
      <c r="G16" s="389">
        <f>CPU_P.UNITARIO!F37</f>
        <v>-1080</v>
      </c>
      <c r="H16" s="390">
        <f>G16*F16</f>
        <v>-12960</v>
      </c>
      <c r="I16" s="44"/>
      <c r="J16" s="44"/>
      <c r="K16" s="44"/>
      <c r="L16" s="95"/>
      <c r="M16" s="24"/>
      <c r="N16" s="29" t="s">
        <v>24</v>
      </c>
      <c r="O16" s="24"/>
      <c r="P16" s="24"/>
      <c r="Q16" s="125" t="str">
        <f t="shared" si="0"/>
        <v>MDF-Man-0003/17</v>
      </c>
      <c r="S16" s="347">
        <f>CPU_P.UNITARIO!R37</f>
        <v>0</v>
      </c>
      <c r="U16" s="10" t="s">
        <v>617</v>
      </c>
      <c r="V16" s="105"/>
      <c r="W16" s="44"/>
    </row>
    <row r="17" spans="1:25" ht="51.75" customHeight="1">
      <c r="A17" s="384" t="s">
        <v>29</v>
      </c>
      <c r="B17" s="385" t="str">
        <f>U17&amp;"/17"</f>
        <v>MDF-Man-0004/17</v>
      </c>
      <c r="C17" s="386" t="s">
        <v>262</v>
      </c>
      <c r="D17" s="387" t="s">
        <v>517</v>
      </c>
      <c r="E17" s="388" t="s">
        <v>12</v>
      </c>
      <c r="F17" s="389">
        <v>12</v>
      </c>
      <c r="G17" s="389">
        <f>CPU_P.UNITARIO!F54</f>
        <v>-408.40000000000003</v>
      </c>
      <c r="H17" s="390">
        <f>G17*F17</f>
        <v>-4900.8</v>
      </c>
      <c r="I17" s="44"/>
      <c r="J17" s="44"/>
      <c r="K17" s="44"/>
      <c r="L17" s="95"/>
      <c r="M17" s="24"/>
      <c r="N17" s="29" t="s">
        <v>25</v>
      </c>
      <c r="O17" s="24"/>
      <c r="P17" s="24"/>
      <c r="Q17" s="125" t="str">
        <f t="shared" si="0"/>
        <v>MDF-Man-0004/17</v>
      </c>
      <c r="S17" s="347">
        <f>CPU_P.UNITARIO!R54</f>
        <v>0</v>
      </c>
      <c r="U17" s="10" t="s">
        <v>618</v>
      </c>
      <c r="V17" s="105"/>
      <c r="W17" s="105"/>
    </row>
    <row r="18" spans="1:25" ht="44.25" customHeight="1">
      <c r="A18" s="384" t="s">
        <v>565</v>
      </c>
      <c r="B18" s="385" t="str">
        <f>U18&amp;"/17"</f>
        <v>MDF-Man-0005/17</v>
      </c>
      <c r="C18" s="406" t="s">
        <v>263</v>
      </c>
      <c r="D18" s="387" t="s">
        <v>265</v>
      </c>
      <c r="E18" s="388" t="s">
        <v>12</v>
      </c>
      <c r="F18" s="389">
        <v>12</v>
      </c>
      <c r="G18" s="389">
        <f>CPU_P.UNITARIO!F72</f>
        <v>943.8</v>
      </c>
      <c r="H18" s="390">
        <f>G18*F18</f>
        <v>11325.599999999999</v>
      </c>
      <c r="I18" s="44"/>
      <c r="J18" s="44"/>
      <c r="K18" s="44"/>
      <c r="L18" s="95"/>
      <c r="M18" s="24"/>
      <c r="N18" s="30" t="s">
        <v>26</v>
      </c>
      <c r="O18" s="24"/>
      <c r="P18" s="24"/>
      <c r="Q18" s="125" t="str">
        <f t="shared" si="0"/>
        <v>MDF-Man-0005/17</v>
      </c>
      <c r="R18" s="9"/>
      <c r="S18" s="347">
        <f>CPU_P.UNITARIO!R72</f>
        <v>0</v>
      </c>
      <c r="U18" s="10" t="s">
        <v>38</v>
      </c>
      <c r="V18" s="105"/>
      <c r="W18" s="105"/>
    </row>
    <row r="19" spans="1:25" ht="39.75" customHeight="1">
      <c r="A19" s="399" t="s">
        <v>30</v>
      </c>
      <c r="B19" s="808" t="s">
        <v>605</v>
      </c>
      <c r="C19" s="809"/>
      <c r="D19" s="809"/>
      <c r="E19" s="809"/>
      <c r="F19" s="809"/>
      <c r="G19" s="809"/>
      <c r="H19" s="810"/>
      <c r="I19" s="44"/>
      <c r="J19" s="44">
        <f>H22+H13</f>
        <v>67945.808888</v>
      </c>
      <c r="K19" s="44"/>
      <c r="L19" s="95"/>
      <c r="M19" s="24"/>
      <c r="N19" s="29" t="s">
        <v>22</v>
      </c>
      <c r="O19" s="24"/>
      <c r="P19" s="24"/>
      <c r="Q19" s="125" t="str">
        <f t="shared" si="0"/>
        <v>/17</v>
      </c>
      <c r="S19" s="18"/>
      <c r="U19" s="10"/>
      <c r="V19" s="105"/>
      <c r="W19" s="105"/>
    </row>
    <row r="20" spans="1:25" s="53" customFormat="1" ht="72" customHeight="1">
      <c r="A20" s="384" t="s">
        <v>31</v>
      </c>
      <c r="B20" s="385" t="str">
        <f>U20&amp;"/17"</f>
        <v>MDF-Man-0006/17</v>
      </c>
      <c r="C20" s="386" t="s">
        <v>252</v>
      </c>
      <c r="D20" s="387" t="s">
        <v>330</v>
      </c>
      <c r="E20" s="388" t="s">
        <v>12</v>
      </c>
      <c r="F20" s="389">
        <v>12</v>
      </c>
      <c r="G20" s="389">
        <f>CPU_P.UNITARIO!F89</f>
        <v>4360.3559999999998</v>
      </c>
      <c r="H20" s="390">
        <f>G20*F20</f>
        <v>52324.271999999997</v>
      </c>
      <c r="I20" s="43"/>
      <c r="J20" s="43"/>
      <c r="K20" s="43"/>
      <c r="L20" s="95"/>
      <c r="M20" s="51"/>
      <c r="N20" s="52"/>
      <c r="O20" s="51"/>
      <c r="P20" s="51"/>
      <c r="Q20" s="125" t="str">
        <f t="shared" si="0"/>
        <v>MDF-Man-0006/17</v>
      </c>
      <c r="S20" s="347">
        <f>CPU_P.UNITARIO!R89</f>
        <v>0</v>
      </c>
      <c r="U20" s="10" t="s">
        <v>39</v>
      </c>
      <c r="V20" s="105"/>
      <c r="W20" s="105"/>
      <c r="X20" s="512"/>
    </row>
    <row r="21" spans="1:25" s="53" customFormat="1" ht="49.5" customHeight="1">
      <c r="A21" s="384" t="s">
        <v>332</v>
      </c>
      <c r="B21" s="385" t="str">
        <f>U21&amp;"/17"</f>
        <v>MDF-Man-0007/17</v>
      </c>
      <c r="C21" s="386" t="s">
        <v>264</v>
      </c>
      <c r="D21" s="412" t="s">
        <v>331</v>
      </c>
      <c r="E21" s="388" t="s">
        <v>12</v>
      </c>
      <c r="F21" s="389">
        <v>12</v>
      </c>
      <c r="G21" s="389">
        <f>CPU_P.UNITARIO!F105</f>
        <v>1815.3175040000003</v>
      </c>
      <c r="H21" s="390">
        <f>G21*F21</f>
        <v>21783.810048000003</v>
      </c>
      <c r="I21" s="43"/>
      <c r="J21" s="43"/>
      <c r="K21" s="43"/>
      <c r="L21" s="95"/>
      <c r="M21" s="51"/>
      <c r="N21" s="52"/>
      <c r="O21" s="51"/>
      <c r="P21" s="51"/>
      <c r="Q21" s="125" t="str">
        <f t="shared" si="0"/>
        <v>MDF-Man-0007/17</v>
      </c>
      <c r="S21" s="347">
        <f>CPU_P.UNITARIO!R105</f>
        <v>0</v>
      </c>
      <c r="U21" s="10" t="s">
        <v>329</v>
      </c>
      <c r="V21" s="107"/>
      <c r="W21" s="107"/>
      <c r="X21" s="512"/>
    </row>
    <row r="22" spans="1:25" ht="27" customHeight="1">
      <c r="A22" s="413"/>
      <c r="B22" s="414"/>
      <c r="C22" s="415"/>
      <c r="D22" s="416" t="s">
        <v>114</v>
      </c>
      <c r="E22" s="417"/>
      <c r="F22" s="418"/>
      <c r="G22" s="418"/>
      <c r="H22" s="483">
        <f>SUM(H16:H21)</f>
        <v>67572.882047999999</v>
      </c>
      <c r="I22" s="37"/>
      <c r="J22" s="488">
        <f>J19+J23</f>
        <v>758246.98206933017</v>
      </c>
      <c r="K22" s="37"/>
      <c r="L22" s="94"/>
      <c r="M22" s="24"/>
      <c r="N22" s="26"/>
      <c r="O22" s="24"/>
      <c r="P22" s="24"/>
      <c r="Q22" s="125" t="str">
        <f t="shared" si="0"/>
        <v>/17</v>
      </c>
      <c r="S22" s="61"/>
      <c r="U22" s="10"/>
      <c r="V22" s="104"/>
      <c r="W22" s="104"/>
      <c r="X22" s="491"/>
    </row>
    <row r="23" spans="1:25" ht="27" customHeight="1">
      <c r="A23" s="419" t="s">
        <v>302</v>
      </c>
      <c r="B23" s="811" t="s">
        <v>554</v>
      </c>
      <c r="C23" s="807"/>
      <c r="D23" s="807"/>
      <c r="E23" s="807"/>
      <c r="F23" s="807"/>
      <c r="G23" s="807"/>
      <c r="H23" s="489"/>
      <c r="I23" s="44"/>
      <c r="J23" s="44">
        <f>H31+H37</f>
        <v>690301.1731813302</v>
      </c>
      <c r="K23" s="44"/>
      <c r="L23" s="95"/>
      <c r="M23" s="24"/>
      <c r="N23" s="29" t="s">
        <v>13</v>
      </c>
      <c r="O23" s="24"/>
      <c r="P23" s="24"/>
      <c r="Q23" s="125" t="str">
        <f t="shared" si="0"/>
        <v>/17</v>
      </c>
      <c r="S23" s="65"/>
      <c r="U23" s="32"/>
      <c r="V23" s="105"/>
      <c r="W23" s="105"/>
      <c r="X23" s="491"/>
    </row>
    <row r="24" spans="1:25" s="316" customFormat="1" ht="27" customHeight="1">
      <c r="A24" s="449" t="s">
        <v>32</v>
      </c>
      <c r="B24" s="450" t="s">
        <v>606</v>
      </c>
      <c r="C24" s="451"/>
      <c r="D24" s="533"/>
      <c r="E24" s="453"/>
      <c r="F24" s="454"/>
      <c r="G24" s="454"/>
      <c r="H24" s="534"/>
      <c r="I24" s="44"/>
      <c r="J24" s="44"/>
      <c r="K24" s="44"/>
      <c r="L24" s="95"/>
      <c r="M24" s="24"/>
      <c r="N24" s="29"/>
      <c r="O24" s="24"/>
      <c r="P24" s="24"/>
      <c r="S24" s="65"/>
      <c r="U24" s="32"/>
      <c r="V24" s="105"/>
      <c r="W24" s="105"/>
      <c r="X24" s="491"/>
    </row>
    <row r="25" spans="1:25" ht="33.75" customHeight="1">
      <c r="A25" s="407" t="s">
        <v>549</v>
      </c>
      <c r="B25" s="386" t="str">
        <f>U25&amp;"/17"</f>
        <v>MDF-Man-0008/17</v>
      </c>
      <c r="C25" s="386" t="s">
        <v>602</v>
      </c>
      <c r="D25" s="408" t="s">
        <v>607</v>
      </c>
      <c r="E25" s="409" t="s">
        <v>12</v>
      </c>
      <c r="F25" s="410">
        <v>12</v>
      </c>
      <c r="G25" s="410">
        <f>CPU_P.UNITARIO!F121</f>
        <v>2584.7141832699781</v>
      </c>
      <c r="H25" s="411">
        <f>G25*F25</f>
        <v>31016.570199239737</v>
      </c>
      <c r="I25" s="44"/>
      <c r="J25" s="44"/>
      <c r="K25" s="44"/>
      <c r="L25" s="95"/>
      <c r="M25" s="24"/>
      <c r="N25" s="17">
        <v>34780</v>
      </c>
      <c r="O25" s="24"/>
      <c r="P25" s="24"/>
      <c r="Q25" s="125" t="str">
        <f>U25&amp;"/17"</f>
        <v>MDF-Man-0008/17</v>
      </c>
      <c r="S25" s="348">
        <f>CPU_P.UNITARIO!R121</f>
        <v>0</v>
      </c>
      <c r="U25" s="10" t="s">
        <v>40</v>
      </c>
      <c r="V25" s="105"/>
      <c r="W25" s="44"/>
      <c r="X25" s="510">
        <f>H22+H13</f>
        <v>67945.808888</v>
      </c>
    </row>
    <row r="26" spans="1:25" s="316" customFormat="1" ht="27" customHeight="1">
      <c r="A26" s="449" t="s">
        <v>33</v>
      </c>
      <c r="B26" s="450" t="s">
        <v>603</v>
      </c>
      <c r="C26" s="451"/>
      <c r="D26" s="533"/>
      <c r="E26" s="453"/>
      <c r="F26" s="454"/>
      <c r="G26" s="454"/>
      <c r="H26" s="534"/>
      <c r="I26" s="44"/>
      <c r="J26" s="44"/>
      <c r="K26" s="44"/>
      <c r="L26" s="95"/>
      <c r="M26" s="24"/>
      <c r="N26" s="29"/>
      <c r="O26" s="24"/>
      <c r="P26" s="24"/>
      <c r="S26" s="65"/>
      <c r="U26" s="32"/>
      <c r="V26" s="105"/>
      <c r="W26" s="105"/>
      <c r="X26" s="491"/>
    </row>
    <row r="27" spans="1:25" ht="33.75" customHeight="1">
      <c r="A27" s="407" t="s">
        <v>550</v>
      </c>
      <c r="B27" s="386" t="str">
        <f>U27&amp;"/17"</f>
        <v>MDF-Man-0009/17</v>
      </c>
      <c r="C27" s="406" t="s">
        <v>635</v>
      </c>
      <c r="D27" s="408" t="s">
        <v>584</v>
      </c>
      <c r="E27" s="409" t="s">
        <v>12</v>
      </c>
      <c r="F27" s="410">
        <v>12</v>
      </c>
      <c r="G27" s="410">
        <f>CPU_P.UNITARIO!F131</f>
        <v>2597.0566357736002</v>
      </c>
      <c r="H27" s="411">
        <f>G27*F27</f>
        <v>31164.6796292832</v>
      </c>
      <c r="I27" s="44"/>
      <c r="J27" s="44"/>
      <c r="K27" s="44"/>
      <c r="L27" s="95"/>
      <c r="M27" s="24"/>
      <c r="N27" s="17">
        <v>2350</v>
      </c>
      <c r="O27" s="24"/>
      <c r="P27" s="24"/>
      <c r="Q27" s="125" t="str">
        <f>U27&amp;"/17"</f>
        <v>MDF-Man-0009/17</v>
      </c>
      <c r="S27" s="348">
        <f>CPU_P.UNITARIO!R131</f>
        <v>0</v>
      </c>
      <c r="U27" s="10" t="s">
        <v>121</v>
      </c>
      <c r="V27" s="105"/>
      <c r="W27" s="105"/>
      <c r="X27" s="510">
        <f>H31+H37</f>
        <v>690301.1731813302</v>
      </c>
    </row>
    <row r="28" spans="1:25" ht="46.5" customHeight="1">
      <c r="A28" s="407" t="s">
        <v>551</v>
      </c>
      <c r="B28" s="424" t="str">
        <f>U28&amp;"/17"</f>
        <v>MDF-Man-0010/17</v>
      </c>
      <c r="C28" s="424" t="s">
        <v>589</v>
      </c>
      <c r="D28" s="425" t="s">
        <v>582</v>
      </c>
      <c r="E28" s="426" t="s">
        <v>12</v>
      </c>
      <c r="F28" s="427">
        <v>12</v>
      </c>
      <c r="G28" s="427">
        <f>CPU_P.UNITARIO!F141</f>
        <v>3940.5656392416408</v>
      </c>
      <c r="H28" s="428">
        <f>G28*F28</f>
        <v>47286.787670899692</v>
      </c>
      <c r="I28" s="44"/>
      <c r="J28" s="44"/>
      <c r="K28" s="44"/>
      <c r="L28" s="95"/>
      <c r="M28" s="24"/>
      <c r="N28" s="29" t="s">
        <v>14</v>
      </c>
      <c r="O28" s="24"/>
      <c r="P28" s="24"/>
      <c r="Q28" s="125" t="str">
        <f>U28&amp;"/17"</f>
        <v>MDF-Man-0010/17</v>
      </c>
      <c r="S28" s="358">
        <f>CPU_P.UNITARIO!R141</f>
        <v>0</v>
      </c>
      <c r="U28" s="10" t="s">
        <v>545</v>
      </c>
      <c r="V28" s="105"/>
      <c r="W28" s="105"/>
      <c r="X28" s="491">
        <f>H75</f>
        <v>20112.580704</v>
      </c>
      <c r="Y28" s="531">
        <f>SUM(X25:X28)</f>
        <v>778359.56277333014</v>
      </c>
    </row>
    <row r="29" spans="1:25" s="316" customFormat="1" ht="46.5" customHeight="1">
      <c r="A29" s="407" t="s">
        <v>552</v>
      </c>
      <c r="B29" s="424" t="str">
        <f>U29&amp;"/17"</f>
        <v>MDF-Man-0011/17</v>
      </c>
      <c r="C29" s="424" t="s">
        <v>116</v>
      </c>
      <c r="D29" s="425" t="s">
        <v>591</v>
      </c>
      <c r="E29" s="426" t="s">
        <v>12</v>
      </c>
      <c r="F29" s="427">
        <v>12</v>
      </c>
      <c r="G29" s="427">
        <f>CPU_P.UNITARIO!F152</f>
        <v>3844.0337165344276</v>
      </c>
      <c r="H29" s="428">
        <f>G29*F29</f>
        <v>46128.40459841313</v>
      </c>
      <c r="I29" s="44"/>
      <c r="J29" s="44"/>
      <c r="K29" s="44"/>
      <c r="L29" s="95"/>
      <c r="M29" s="24"/>
      <c r="N29" s="29"/>
      <c r="O29" s="24"/>
      <c r="P29" s="24"/>
      <c r="S29" s="358">
        <f>CPU_P.UNITARIO!R152</f>
        <v>0</v>
      </c>
      <c r="U29" s="10" t="s">
        <v>122</v>
      </c>
      <c r="V29" s="105"/>
      <c r="W29" s="105"/>
      <c r="X29" s="491">
        <f>H90</f>
        <v>68186.030255199992</v>
      </c>
    </row>
    <row r="30" spans="1:25" s="316" customFormat="1" ht="46.5" customHeight="1">
      <c r="A30" s="407" t="s">
        <v>553</v>
      </c>
      <c r="B30" s="424" t="str">
        <f>U30&amp;"/17"</f>
        <v>MDF-Man-0012/17</v>
      </c>
      <c r="C30" s="430" t="s">
        <v>635</v>
      </c>
      <c r="D30" s="431" t="s">
        <v>636</v>
      </c>
      <c r="E30" s="432" t="s">
        <v>12</v>
      </c>
      <c r="F30" s="433">
        <v>12</v>
      </c>
      <c r="G30" s="433">
        <f>CPU_P.UNITARIO!F163</f>
        <v>3193.1056368640002</v>
      </c>
      <c r="H30" s="434">
        <f>G30*F30</f>
        <v>38317.267642368002</v>
      </c>
      <c r="I30" s="44"/>
      <c r="J30" s="44"/>
      <c r="K30" s="44"/>
      <c r="L30" s="95"/>
      <c r="M30" s="24"/>
      <c r="N30" s="29"/>
      <c r="O30" s="24"/>
      <c r="P30" s="24"/>
      <c r="S30" s="359">
        <f>CPU_P.UNITARIO!R163</f>
        <v>0</v>
      </c>
      <c r="U30" s="10" t="s">
        <v>123</v>
      </c>
      <c r="V30" s="105"/>
      <c r="W30" s="105"/>
      <c r="X30" s="491">
        <f>H153</f>
        <v>42495.333814000034</v>
      </c>
      <c r="Y30" s="531">
        <f>SUM(X29:X30)</f>
        <v>110681.36406920003</v>
      </c>
    </row>
    <row r="31" spans="1:25" s="6" customFormat="1" ht="27" customHeight="1">
      <c r="A31" s="391"/>
      <c r="B31" s="435"/>
      <c r="C31" s="436"/>
      <c r="D31" s="394" t="s">
        <v>115</v>
      </c>
      <c r="E31" s="395"/>
      <c r="F31" s="396"/>
      <c r="G31" s="396"/>
      <c r="H31" s="482">
        <f>SUM(H25:H30)</f>
        <v>193913.70974020378</v>
      </c>
      <c r="I31" s="37"/>
      <c r="J31" s="257" t="s">
        <v>318</v>
      </c>
      <c r="K31" s="256" t="s">
        <v>326</v>
      </c>
      <c r="L31" s="258" t="s">
        <v>319</v>
      </c>
      <c r="M31" s="24"/>
      <c r="N31" s="26"/>
      <c r="O31" s="24"/>
      <c r="P31" s="24"/>
      <c r="Q31" s="316" t="str">
        <f t="shared" ref="Q31:Q36" si="1">U31&amp;"/17"</f>
        <v>/17</v>
      </c>
      <c r="S31" s="59"/>
      <c r="U31" s="10"/>
      <c r="V31" s="104"/>
      <c r="W31" s="104"/>
      <c r="X31" s="492">
        <f>SUM(X25:X30)</f>
        <v>889040.92684253014</v>
      </c>
      <c r="Y31" s="532">
        <f>X31/12</f>
        <v>74086.743903544178</v>
      </c>
    </row>
    <row r="32" spans="1:25" s="316" customFormat="1" ht="32.25" customHeight="1">
      <c r="A32" s="419" t="s">
        <v>303</v>
      </c>
      <c r="B32" s="806" t="s">
        <v>608</v>
      </c>
      <c r="C32" s="807"/>
      <c r="D32" s="807"/>
      <c r="E32" s="807"/>
      <c r="F32" s="807"/>
      <c r="G32" s="807"/>
      <c r="H32" s="422"/>
      <c r="I32" s="44"/>
      <c r="J32" s="44"/>
      <c r="K32" s="44"/>
      <c r="L32" s="95"/>
      <c r="M32" s="24"/>
      <c r="N32" s="29" t="s">
        <v>13</v>
      </c>
      <c r="O32" s="24"/>
      <c r="P32" s="24"/>
      <c r="Q32" s="316" t="str">
        <f t="shared" si="1"/>
        <v>/17</v>
      </c>
      <c r="S32" s="65"/>
      <c r="U32" s="10"/>
      <c r="V32" s="105"/>
      <c r="W32" s="105"/>
      <c r="X32" s="509"/>
    </row>
    <row r="33" spans="1:24" s="316" customFormat="1" ht="43.5" customHeight="1">
      <c r="A33" s="407" t="s">
        <v>34</v>
      </c>
      <c r="B33" s="424" t="str">
        <f>U33&amp;"/17"</f>
        <v>MDF-Man-0013/17</v>
      </c>
      <c r="C33" s="386" t="s">
        <v>635</v>
      </c>
      <c r="D33" s="408" t="s">
        <v>609</v>
      </c>
      <c r="E33" s="409" t="s">
        <v>12</v>
      </c>
      <c r="F33" s="410">
        <v>24</v>
      </c>
      <c r="G33" s="429">
        <f>CPU_P.UNITARIO!F174</f>
        <v>5851.7067231479996</v>
      </c>
      <c r="H33" s="411">
        <f t="shared" ref="H33:H36" si="2">F33*G33</f>
        <v>140440.96135555199</v>
      </c>
      <c r="I33" s="44"/>
      <c r="J33" s="44"/>
      <c r="K33" s="44"/>
      <c r="L33" s="95"/>
      <c r="M33" s="24"/>
      <c r="N33" s="29"/>
      <c r="O33" s="24"/>
      <c r="P33" s="24"/>
      <c r="Q33" s="316" t="str">
        <f t="shared" si="1"/>
        <v>MDF-Man-0013/17</v>
      </c>
      <c r="S33" s="65"/>
      <c r="U33" s="10" t="s">
        <v>124</v>
      </c>
      <c r="V33" s="105"/>
      <c r="W33" s="105"/>
      <c r="X33" s="675">
        <f>X31/12</f>
        <v>74086.743903544178</v>
      </c>
    </row>
    <row r="34" spans="1:24" s="316" customFormat="1" ht="43.5" customHeight="1">
      <c r="A34" s="407" t="s">
        <v>35</v>
      </c>
      <c r="B34" s="424" t="str">
        <f>U34&amp;"/17"</f>
        <v>MDF-Man-0014/17</v>
      </c>
      <c r="C34" s="386" t="s">
        <v>635</v>
      </c>
      <c r="D34" s="408" t="s">
        <v>638</v>
      </c>
      <c r="E34" s="409" t="s">
        <v>12</v>
      </c>
      <c r="F34" s="410">
        <v>24</v>
      </c>
      <c r="G34" s="429">
        <f>CPU_P.UNITARIO!F184</f>
        <v>3365.6047921496001</v>
      </c>
      <c r="H34" s="411">
        <f t="shared" si="2"/>
        <v>80774.515011590411</v>
      </c>
      <c r="I34" s="44">
        <f>H34/2</f>
        <v>40387.257505795205</v>
      </c>
      <c r="J34" s="44">
        <f>H36/2</f>
        <v>49598.506852751991</v>
      </c>
      <c r="K34" s="44"/>
      <c r="L34" s="95"/>
      <c r="M34" s="24"/>
      <c r="N34" s="29"/>
      <c r="O34" s="24">
        <f>H33+H35</f>
        <v>316415.93472403195</v>
      </c>
      <c r="P34" s="24"/>
      <c r="Q34" s="316" t="str">
        <f t="shared" si="1"/>
        <v>MDF-Man-0014/17</v>
      </c>
      <c r="S34" s="65"/>
      <c r="U34" s="10" t="s">
        <v>125</v>
      </c>
      <c r="V34" s="105"/>
      <c r="W34" s="105"/>
      <c r="X34" s="509"/>
    </row>
    <row r="35" spans="1:24" s="316" customFormat="1" ht="46.5" customHeight="1">
      <c r="A35" s="407" t="s">
        <v>555</v>
      </c>
      <c r="B35" s="424" t="str">
        <f>U35&amp;"/17"</f>
        <v>MDF-Man-0015/17</v>
      </c>
      <c r="C35" s="386" t="s">
        <v>635</v>
      </c>
      <c r="D35" s="408" t="s">
        <v>611</v>
      </c>
      <c r="E35" s="409" t="s">
        <v>12</v>
      </c>
      <c r="F35" s="410">
        <v>24</v>
      </c>
      <c r="G35" s="429">
        <f>CPU_P.UNITARIO!F195</f>
        <v>7332.2905570200001</v>
      </c>
      <c r="H35" s="411">
        <f t="shared" si="2"/>
        <v>175974.97336847999</v>
      </c>
      <c r="I35" s="44" t="s">
        <v>442</v>
      </c>
      <c r="J35" s="44">
        <f>H35/12</f>
        <v>14664.581114039998</v>
      </c>
      <c r="K35" s="44"/>
      <c r="L35" s="95"/>
      <c r="M35" s="24"/>
      <c r="N35" s="29" t="s">
        <v>15</v>
      </c>
      <c r="O35" s="24"/>
      <c r="P35" s="24"/>
      <c r="Q35" s="316" t="str">
        <f t="shared" si="1"/>
        <v>MDF-Man-0015/17</v>
      </c>
      <c r="S35" s="355" t="e">
        <f>CPU_P.UNITARIO!#REF!</f>
        <v>#REF!</v>
      </c>
      <c r="U35" s="10" t="s">
        <v>126</v>
      </c>
      <c r="V35" s="105"/>
      <c r="W35" s="105"/>
      <c r="X35" s="509"/>
    </row>
    <row r="36" spans="1:24" s="316" customFormat="1" ht="46.5" customHeight="1">
      <c r="A36" s="407" t="s">
        <v>556</v>
      </c>
      <c r="B36" s="424" t="str">
        <f>U36&amp;"/17"</f>
        <v>MDF-Man-0016/17</v>
      </c>
      <c r="C36" s="430" t="s">
        <v>635</v>
      </c>
      <c r="D36" s="431" t="s">
        <v>637</v>
      </c>
      <c r="E36" s="432" t="s">
        <v>12</v>
      </c>
      <c r="F36" s="433">
        <v>24</v>
      </c>
      <c r="G36" s="433">
        <f>CPU_P.UNITARIO!F205</f>
        <v>4133.2089043959995</v>
      </c>
      <c r="H36" s="411">
        <f t="shared" si="2"/>
        <v>99197.013705503981</v>
      </c>
      <c r="I36" s="44"/>
      <c r="J36" s="44"/>
      <c r="K36" s="44"/>
      <c r="L36" s="95"/>
      <c r="M36" s="24"/>
      <c r="N36" s="29"/>
      <c r="O36" s="24"/>
      <c r="P36" s="24"/>
      <c r="Q36" s="316" t="str">
        <f t="shared" si="1"/>
        <v>MDF-Man-0016/17</v>
      </c>
      <c r="S36" s="359">
        <f>CPU_P.UNITARIO!R163</f>
        <v>0</v>
      </c>
      <c r="U36" s="10" t="s">
        <v>127</v>
      </c>
      <c r="V36" s="105"/>
      <c r="W36" s="105"/>
      <c r="X36" s="509"/>
    </row>
    <row r="37" spans="1:24" s="6" customFormat="1" ht="27" customHeight="1">
      <c r="A37" s="391"/>
      <c r="B37" s="435"/>
      <c r="C37" s="436"/>
      <c r="D37" s="394" t="s">
        <v>356</v>
      </c>
      <c r="E37" s="395"/>
      <c r="F37" s="396"/>
      <c r="G37" s="396"/>
      <c r="H37" s="482">
        <f>SUM(H33:H36)</f>
        <v>496387.4634411264</v>
      </c>
      <c r="I37" s="37"/>
      <c r="J37" s="257" t="s">
        <v>318</v>
      </c>
      <c r="K37" s="256" t="s">
        <v>326</v>
      </c>
      <c r="L37" s="258" t="s">
        <v>319</v>
      </c>
      <c r="M37" s="24"/>
      <c r="N37" s="26"/>
      <c r="O37" s="24"/>
      <c r="P37" s="24"/>
      <c r="Q37" s="316"/>
      <c r="S37" s="59"/>
      <c r="U37" s="66"/>
      <c r="V37" s="104"/>
      <c r="W37" s="104"/>
      <c r="X37" s="513"/>
    </row>
    <row r="38" spans="1:24" ht="27" customHeight="1">
      <c r="A38" s="419" t="s">
        <v>304</v>
      </c>
      <c r="B38" s="437" t="s">
        <v>511</v>
      </c>
      <c r="C38" s="438"/>
      <c r="D38" s="439"/>
      <c r="E38" s="420"/>
      <c r="F38" s="421"/>
      <c r="G38" s="421"/>
      <c r="H38" s="422"/>
      <c r="I38" s="44">
        <f>ROUND(G43,2)</f>
        <v>102.62</v>
      </c>
      <c r="J38" s="44">
        <f t="shared" ref="J38:J60" si="3">(K38*$H$156)+K38</f>
        <v>0</v>
      </c>
      <c r="K38" s="9"/>
      <c r="L38" s="95" t="e">
        <f>VLOOKUP(D43,#REF!,2,FALSE)</f>
        <v>#REF!</v>
      </c>
      <c r="M38" s="24"/>
      <c r="N38" s="17" t="s">
        <v>312</v>
      </c>
      <c r="O38" s="24" t="str">
        <f>N38&amp;" -PINI"</f>
        <v>32.003.000001.SER -PINI</v>
      </c>
      <c r="P38" s="24"/>
      <c r="Q38" s="125" t="str">
        <f>U38&amp;"/17"</f>
        <v>/17</v>
      </c>
      <c r="S38" s="65"/>
      <c r="U38" s="32"/>
      <c r="V38" s="105"/>
      <c r="W38" s="105"/>
    </row>
    <row r="39" spans="1:24" s="316" customFormat="1" ht="27" customHeight="1">
      <c r="A39" s="423" t="s">
        <v>42</v>
      </c>
      <c r="B39" s="386" t="str">
        <f t="shared" ref="B39:B73" si="4">U39&amp;"/17"</f>
        <v>MDF-Man-0017/17</v>
      </c>
      <c r="C39" s="443" t="s">
        <v>427</v>
      </c>
      <c r="D39" s="441" t="s">
        <v>426</v>
      </c>
      <c r="E39" s="444" t="s">
        <v>2</v>
      </c>
      <c r="F39" s="429">
        <v>30</v>
      </c>
      <c r="G39" s="410">
        <f>J39</f>
        <v>3.2609719999999998</v>
      </c>
      <c r="H39" s="445">
        <f>G39*F39</f>
        <v>97.829159999999987</v>
      </c>
      <c r="I39" s="44"/>
      <c r="J39" s="44">
        <f>(K39*$H$156)+K39</f>
        <v>3.2609719999999998</v>
      </c>
      <c r="K39" s="9">
        <v>2.86</v>
      </c>
      <c r="L39" s="95"/>
      <c r="M39" s="24"/>
      <c r="N39" s="17"/>
      <c r="O39" s="24"/>
      <c r="P39" s="24"/>
      <c r="S39" s="348">
        <f>V39</f>
        <v>0</v>
      </c>
      <c r="U39" s="32" t="s">
        <v>515</v>
      </c>
      <c r="V39" s="105"/>
      <c r="W39" s="105"/>
      <c r="X39" s="509"/>
    </row>
    <row r="40" spans="1:24" s="316" customFormat="1" ht="32.25" customHeight="1">
      <c r="A40" s="423" t="s">
        <v>43</v>
      </c>
      <c r="B40" s="386" t="str">
        <f t="shared" si="4"/>
        <v>MDF-Man-0018/17</v>
      </c>
      <c r="C40" s="443" t="s">
        <v>420</v>
      </c>
      <c r="D40" s="441" t="s">
        <v>419</v>
      </c>
      <c r="E40" s="444" t="s">
        <v>2</v>
      </c>
      <c r="F40" s="429">
        <v>100</v>
      </c>
      <c r="G40" s="410">
        <f>J40</f>
        <v>7.2060640000000005</v>
      </c>
      <c r="H40" s="445">
        <f>G40*F40</f>
        <v>720.60640000000001</v>
      </c>
      <c r="I40" s="44"/>
      <c r="J40" s="44">
        <f>(K40*$H$156)+K40</f>
        <v>7.2060640000000005</v>
      </c>
      <c r="K40" s="9">
        <v>6.32</v>
      </c>
      <c r="L40" s="95"/>
      <c r="M40" s="24"/>
      <c r="N40" s="17"/>
      <c r="O40" s="24"/>
      <c r="P40" s="24"/>
      <c r="Q40" s="316" t="str">
        <f t="shared" ref="Q40:Q57" si="5">U40&amp;"/17"</f>
        <v>MDF-Man-0018/17</v>
      </c>
      <c r="S40" s="348">
        <f>V40</f>
        <v>0</v>
      </c>
      <c r="U40" s="32" t="s">
        <v>516</v>
      </c>
      <c r="V40" s="105"/>
      <c r="W40" s="105"/>
      <c r="X40" s="509"/>
    </row>
    <row r="41" spans="1:24" s="316" customFormat="1" ht="27" customHeight="1">
      <c r="A41" s="423" t="s">
        <v>44</v>
      </c>
      <c r="B41" s="386" t="str">
        <f t="shared" si="4"/>
        <v>MDF-Man-0019/17</v>
      </c>
      <c r="C41" s="446" t="s">
        <v>406</v>
      </c>
      <c r="D41" s="441" t="s">
        <v>376</v>
      </c>
      <c r="E41" s="444" t="s">
        <v>2</v>
      </c>
      <c r="F41" s="429">
        <v>100</v>
      </c>
      <c r="G41" s="410">
        <f>J41</f>
        <v>6.6359640000000004</v>
      </c>
      <c r="H41" s="445">
        <f>G41*F41</f>
        <v>663.59640000000002</v>
      </c>
      <c r="I41" s="44"/>
      <c r="J41" s="44">
        <f>(K41*$H$156)+K41</f>
        <v>6.6359640000000004</v>
      </c>
      <c r="K41" s="9">
        <v>5.82</v>
      </c>
      <c r="L41" s="95"/>
      <c r="M41" s="24"/>
      <c r="N41" s="17"/>
      <c r="O41" s="24"/>
      <c r="P41" s="24"/>
      <c r="Q41" s="316" t="str">
        <f t="shared" si="5"/>
        <v>MDF-Man-0019/17</v>
      </c>
      <c r="S41" s="348">
        <f>V41</f>
        <v>0</v>
      </c>
      <c r="U41" s="32" t="s">
        <v>128</v>
      </c>
      <c r="V41" s="105"/>
      <c r="W41" s="105"/>
      <c r="X41" s="509"/>
    </row>
    <row r="42" spans="1:24" s="316" customFormat="1" ht="27" customHeight="1">
      <c r="A42" s="423" t="s">
        <v>45</v>
      </c>
      <c r="B42" s="386" t="str">
        <f t="shared" si="4"/>
        <v>MDF-Man-0020/17</v>
      </c>
      <c r="C42" s="446" t="s">
        <v>406</v>
      </c>
      <c r="D42" s="441" t="s">
        <v>438</v>
      </c>
      <c r="E42" s="429" t="s">
        <v>433</v>
      </c>
      <c r="F42" s="429">
        <v>3</v>
      </c>
      <c r="G42" s="410">
        <f t="shared" ref="G42:G72" si="6">J42</f>
        <v>93.074525999999992</v>
      </c>
      <c r="H42" s="445">
        <f t="shared" ref="H42:H53" si="7">G42*F42</f>
        <v>279.22357799999997</v>
      </c>
      <c r="I42" s="44"/>
      <c r="J42" s="44">
        <f t="shared" si="3"/>
        <v>93.074525999999992</v>
      </c>
      <c r="K42" s="9">
        <v>81.63</v>
      </c>
      <c r="L42" s="95"/>
      <c r="M42" s="24"/>
      <c r="N42" s="17"/>
      <c r="O42" s="24"/>
      <c r="P42" s="24"/>
      <c r="Q42" s="316" t="str">
        <f t="shared" si="5"/>
        <v>MDF-Man-0020/17</v>
      </c>
      <c r="S42" s="348">
        <f t="shared" ref="S42:S72" si="8">V42</f>
        <v>0</v>
      </c>
      <c r="U42" s="32" t="s">
        <v>129</v>
      </c>
      <c r="V42" s="105"/>
      <c r="W42" s="105"/>
      <c r="X42" s="509"/>
    </row>
    <row r="43" spans="1:24" s="316" customFormat="1" ht="27" customHeight="1">
      <c r="A43" s="423" t="s">
        <v>46</v>
      </c>
      <c r="B43" s="386" t="str">
        <f t="shared" si="4"/>
        <v>MDF-Man-0021/17</v>
      </c>
      <c r="C43" s="446" t="s">
        <v>406</v>
      </c>
      <c r="D43" s="441" t="s">
        <v>351</v>
      </c>
      <c r="E43" s="444" t="s">
        <v>1</v>
      </c>
      <c r="F43" s="429">
        <v>3</v>
      </c>
      <c r="G43" s="410">
        <f t="shared" si="6"/>
        <v>102.61799999999999</v>
      </c>
      <c r="H43" s="445">
        <f t="shared" si="7"/>
        <v>307.85399999999998</v>
      </c>
      <c r="I43" s="44"/>
      <c r="J43" s="44">
        <f t="shared" si="3"/>
        <v>102.61799999999999</v>
      </c>
      <c r="K43" s="9">
        <v>90</v>
      </c>
      <c r="L43" s="95"/>
      <c r="M43" s="24"/>
      <c r="N43" s="17"/>
      <c r="O43" s="24"/>
      <c r="P43" s="24"/>
      <c r="Q43" s="316" t="str">
        <f t="shared" si="5"/>
        <v>MDF-Man-0021/17</v>
      </c>
      <c r="S43" s="348">
        <f t="shared" si="8"/>
        <v>0</v>
      </c>
      <c r="U43" s="32" t="s">
        <v>130</v>
      </c>
      <c r="V43" s="105"/>
      <c r="W43" s="105"/>
      <c r="X43" s="509"/>
    </row>
    <row r="44" spans="1:24" s="316" customFormat="1" ht="27" customHeight="1">
      <c r="A44" s="423" t="s">
        <v>47</v>
      </c>
      <c r="B44" s="386" t="str">
        <f t="shared" si="4"/>
        <v>MDF-Man-0022/17</v>
      </c>
      <c r="C44" s="446" t="s">
        <v>406</v>
      </c>
      <c r="D44" s="441" t="s">
        <v>443</v>
      </c>
      <c r="E44" s="444" t="s">
        <v>433</v>
      </c>
      <c r="F44" s="429">
        <v>10</v>
      </c>
      <c r="G44" s="410">
        <f t="shared" si="6"/>
        <v>85.515000000000001</v>
      </c>
      <c r="H44" s="445">
        <f t="shared" si="7"/>
        <v>855.15</v>
      </c>
      <c r="I44" s="44"/>
      <c r="J44" s="44">
        <f t="shared" si="3"/>
        <v>85.515000000000001</v>
      </c>
      <c r="K44" s="9">
        <v>75</v>
      </c>
      <c r="L44" s="95"/>
      <c r="M44" s="24"/>
      <c r="N44" s="17"/>
      <c r="O44" s="24"/>
      <c r="P44" s="24"/>
      <c r="Q44" s="316" t="str">
        <f t="shared" si="5"/>
        <v>MDF-Man-0022/17</v>
      </c>
      <c r="S44" s="348">
        <f t="shared" si="8"/>
        <v>0</v>
      </c>
      <c r="U44" s="32" t="s">
        <v>131</v>
      </c>
      <c r="V44" s="105"/>
      <c r="W44" s="105"/>
      <c r="X44" s="509"/>
    </row>
    <row r="45" spans="1:24" s="316" customFormat="1" ht="27" customHeight="1">
      <c r="A45" s="423" t="s">
        <v>48</v>
      </c>
      <c r="B45" s="386" t="str">
        <f t="shared" si="4"/>
        <v>MDF-Man-0023/17</v>
      </c>
      <c r="C45" s="446" t="s">
        <v>406</v>
      </c>
      <c r="D45" s="441" t="s">
        <v>380</v>
      </c>
      <c r="E45" s="444" t="s">
        <v>236</v>
      </c>
      <c r="F45" s="429">
        <v>10</v>
      </c>
      <c r="G45" s="410">
        <f t="shared" ref="G45:G50" si="9">J45</f>
        <v>32.586915999999995</v>
      </c>
      <c r="H45" s="445">
        <f t="shared" ref="H45:H50" si="10">G45*F45</f>
        <v>325.86915999999997</v>
      </c>
      <c r="I45" s="44"/>
      <c r="J45" s="44">
        <f t="shared" ref="J45:J50" si="11">(K45*$H$156)+K45</f>
        <v>32.586915999999995</v>
      </c>
      <c r="K45" s="9">
        <v>28.58</v>
      </c>
      <c r="L45" s="95"/>
      <c r="M45" s="24"/>
      <c r="N45" s="17"/>
      <c r="O45" s="24"/>
      <c r="P45" s="24"/>
      <c r="Q45" s="316" t="str">
        <f t="shared" si="5"/>
        <v>MDF-Man-0023/17</v>
      </c>
      <c r="S45" s="348">
        <f t="shared" si="8"/>
        <v>0</v>
      </c>
      <c r="U45" s="32" t="s">
        <v>132</v>
      </c>
      <c r="V45" s="105"/>
      <c r="W45" s="105"/>
      <c r="X45" s="509"/>
    </row>
    <row r="46" spans="1:24" s="316" customFormat="1" ht="27" customHeight="1">
      <c r="A46" s="423" t="s">
        <v>49</v>
      </c>
      <c r="B46" s="386" t="str">
        <f t="shared" si="4"/>
        <v>MDF-Man-0024/17</v>
      </c>
      <c r="C46" s="446" t="s">
        <v>406</v>
      </c>
      <c r="D46" s="441" t="s">
        <v>366</v>
      </c>
      <c r="E46" s="444" t="s">
        <v>404</v>
      </c>
      <c r="F46" s="429">
        <v>5</v>
      </c>
      <c r="G46" s="410">
        <f t="shared" si="9"/>
        <v>2.9645200000000003</v>
      </c>
      <c r="H46" s="445">
        <f t="shared" si="10"/>
        <v>14.822600000000001</v>
      </c>
      <c r="I46" s="44"/>
      <c r="J46" s="44">
        <f t="shared" si="11"/>
        <v>2.9645200000000003</v>
      </c>
      <c r="K46" s="9">
        <v>2.6</v>
      </c>
      <c r="L46" s="95"/>
      <c r="M46" s="24"/>
      <c r="N46" s="17"/>
      <c r="O46" s="24"/>
      <c r="P46" s="24"/>
      <c r="Q46" s="316" t="str">
        <f t="shared" si="5"/>
        <v>MDF-Man-0024/17</v>
      </c>
      <c r="S46" s="348">
        <f t="shared" si="8"/>
        <v>0</v>
      </c>
      <c r="U46" s="32" t="s">
        <v>133</v>
      </c>
      <c r="V46" s="105"/>
      <c r="W46" s="105"/>
      <c r="X46" s="509"/>
    </row>
    <row r="47" spans="1:24" s="316" customFormat="1" ht="27" customHeight="1">
      <c r="A47" s="423" t="s">
        <v>50</v>
      </c>
      <c r="B47" s="386" t="str">
        <f t="shared" si="4"/>
        <v>MDF-Man-0025/17</v>
      </c>
      <c r="C47" s="446" t="s">
        <v>406</v>
      </c>
      <c r="D47" s="441" t="s">
        <v>386</v>
      </c>
      <c r="E47" s="444" t="s">
        <v>404</v>
      </c>
      <c r="F47" s="429">
        <v>5</v>
      </c>
      <c r="G47" s="410">
        <f t="shared" si="9"/>
        <v>5.7808140000000003</v>
      </c>
      <c r="H47" s="445">
        <f t="shared" si="10"/>
        <v>28.904070000000001</v>
      </c>
      <c r="I47" s="44">
        <f>ROUND(G48,2)</f>
        <v>2.7</v>
      </c>
      <c r="J47" s="44">
        <f t="shared" si="11"/>
        <v>5.7808140000000003</v>
      </c>
      <c r="K47" s="9">
        <v>5.07</v>
      </c>
      <c r="L47" s="95"/>
      <c r="M47" s="24"/>
      <c r="N47" s="17"/>
      <c r="O47" s="24"/>
      <c r="P47" s="24"/>
      <c r="Q47" s="316" t="str">
        <f t="shared" si="5"/>
        <v>MDF-Man-0025/17</v>
      </c>
      <c r="S47" s="348">
        <f t="shared" si="8"/>
        <v>0</v>
      </c>
      <c r="U47" s="32" t="s">
        <v>134</v>
      </c>
      <c r="V47" s="105"/>
      <c r="W47" s="105"/>
      <c r="X47" s="509"/>
    </row>
    <row r="48" spans="1:24" s="316" customFormat="1" ht="27" customHeight="1">
      <c r="A48" s="423" t="s">
        <v>51</v>
      </c>
      <c r="B48" s="386" t="str">
        <f t="shared" si="4"/>
        <v>MDF-Man-0026/17</v>
      </c>
      <c r="C48" s="446" t="s">
        <v>406</v>
      </c>
      <c r="D48" s="441" t="s">
        <v>387</v>
      </c>
      <c r="E48" s="444" t="s">
        <v>404</v>
      </c>
      <c r="F48" s="429">
        <v>5</v>
      </c>
      <c r="G48" s="410">
        <f t="shared" si="9"/>
        <v>2.7022740000000001</v>
      </c>
      <c r="H48" s="445">
        <f t="shared" si="10"/>
        <v>13.511369999999999</v>
      </c>
      <c r="I48" s="44"/>
      <c r="J48" s="44">
        <f t="shared" si="11"/>
        <v>2.7022740000000001</v>
      </c>
      <c r="K48" s="9">
        <v>2.37</v>
      </c>
      <c r="L48" s="95"/>
      <c r="M48" s="24"/>
      <c r="N48" s="17"/>
      <c r="O48" s="24"/>
      <c r="P48" s="24"/>
      <c r="Q48" s="316" t="str">
        <f t="shared" si="5"/>
        <v>MDF-Man-0026/17</v>
      </c>
      <c r="S48" s="348">
        <f t="shared" si="8"/>
        <v>0</v>
      </c>
      <c r="U48" s="32" t="s">
        <v>135</v>
      </c>
      <c r="V48" s="105"/>
      <c r="W48" s="105"/>
      <c r="X48" s="509"/>
    </row>
    <row r="49" spans="1:24" ht="27" customHeight="1">
      <c r="A49" s="423" t="s">
        <v>52</v>
      </c>
      <c r="B49" s="386" t="str">
        <f t="shared" si="4"/>
        <v>MDF-Man-0027/17</v>
      </c>
      <c r="C49" s="446" t="s">
        <v>406</v>
      </c>
      <c r="D49" s="441" t="s">
        <v>389</v>
      </c>
      <c r="E49" s="444" t="s">
        <v>404</v>
      </c>
      <c r="F49" s="429">
        <v>5</v>
      </c>
      <c r="G49" s="410">
        <f t="shared" si="9"/>
        <v>4.0591119999999998</v>
      </c>
      <c r="H49" s="445">
        <f t="shared" si="10"/>
        <v>20.295559999999998</v>
      </c>
      <c r="I49" s="44"/>
      <c r="J49" s="44">
        <f t="shared" si="11"/>
        <v>4.0591119999999998</v>
      </c>
      <c r="K49" s="9">
        <v>3.56</v>
      </c>
      <c r="L49" s="95" t="e">
        <f>VLOOKUP(D50,#REF!,2,FALSE)</f>
        <v>#REF!</v>
      </c>
      <c r="M49" s="24"/>
      <c r="N49" s="17" t="s">
        <v>313</v>
      </c>
      <c r="O49" s="24" t="str">
        <f>N49&amp;" -PINI"</f>
        <v>32.003.000002.SER -PINI</v>
      </c>
      <c r="P49" s="24"/>
      <c r="Q49" s="125" t="str">
        <f t="shared" si="5"/>
        <v>MDF-Man-0027/17</v>
      </c>
      <c r="S49" s="348">
        <f t="shared" si="8"/>
        <v>0</v>
      </c>
      <c r="U49" s="32" t="s">
        <v>136</v>
      </c>
      <c r="V49" s="105"/>
      <c r="W49" s="105"/>
    </row>
    <row r="50" spans="1:24" s="316" customFormat="1" ht="27" customHeight="1">
      <c r="A50" s="423" t="s">
        <v>53</v>
      </c>
      <c r="B50" s="386" t="str">
        <f t="shared" si="4"/>
        <v>MDF-Man-0028/17</v>
      </c>
      <c r="C50" s="446" t="s">
        <v>406</v>
      </c>
      <c r="D50" s="441" t="s">
        <v>388</v>
      </c>
      <c r="E50" s="444" t="s">
        <v>404</v>
      </c>
      <c r="F50" s="429">
        <v>5</v>
      </c>
      <c r="G50" s="410">
        <f t="shared" si="9"/>
        <v>6.2710999999999997</v>
      </c>
      <c r="H50" s="445">
        <f t="shared" si="10"/>
        <v>31.355499999999999</v>
      </c>
      <c r="I50" s="44"/>
      <c r="J50" s="44">
        <f t="shared" si="11"/>
        <v>6.2710999999999997</v>
      </c>
      <c r="K50" s="9">
        <v>5.5</v>
      </c>
      <c r="L50" s="95"/>
      <c r="M50" s="24"/>
      <c r="N50" s="17"/>
      <c r="O50" s="24"/>
      <c r="P50" s="24"/>
      <c r="Q50" s="316" t="str">
        <f t="shared" si="5"/>
        <v>MDF-Man-0028/17</v>
      </c>
      <c r="S50" s="348">
        <f t="shared" si="8"/>
        <v>0</v>
      </c>
      <c r="U50" s="32" t="s">
        <v>137</v>
      </c>
      <c r="V50" s="105"/>
      <c r="W50" s="105"/>
      <c r="X50" s="509"/>
    </row>
    <row r="51" spans="1:24" s="316" customFormat="1" ht="27" customHeight="1">
      <c r="A51" s="423" t="s">
        <v>520</v>
      </c>
      <c r="B51" s="386" t="str">
        <f t="shared" si="4"/>
        <v>MDF-Man-0029/17</v>
      </c>
      <c r="C51" s="446" t="s">
        <v>406</v>
      </c>
      <c r="D51" s="408" t="s">
        <v>444</v>
      </c>
      <c r="E51" s="444" t="s">
        <v>433</v>
      </c>
      <c r="F51" s="429">
        <v>150</v>
      </c>
      <c r="G51" s="410">
        <f t="shared" si="6"/>
        <v>0.136824</v>
      </c>
      <c r="H51" s="445">
        <f t="shared" si="7"/>
        <v>20.523600000000002</v>
      </c>
      <c r="I51" s="43"/>
      <c r="J51" s="44">
        <f t="shared" si="3"/>
        <v>0.136824</v>
      </c>
      <c r="K51" s="59">
        <v>0.12</v>
      </c>
      <c r="L51" s="95"/>
      <c r="M51" s="24"/>
      <c r="N51" s="17"/>
      <c r="O51" s="24"/>
      <c r="P51" s="24"/>
      <c r="Q51" s="316" t="str">
        <f t="shared" si="5"/>
        <v>MDF-Man-0029/17</v>
      </c>
      <c r="S51" s="348">
        <f t="shared" si="8"/>
        <v>0</v>
      </c>
      <c r="U51" s="32" t="s">
        <v>138</v>
      </c>
      <c r="V51" s="105"/>
      <c r="W51" s="105"/>
      <c r="X51" s="509"/>
    </row>
    <row r="52" spans="1:24" s="316" customFormat="1" ht="27" customHeight="1">
      <c r="A52" s="423" t="s">
        <v>521</v>
      </c>
      <c r="B52" s="386" t="str">
        <f t="shared" si="4"/>
        <v>MDF-Man-0030/17</v>
      </c>
      <c r="C52" s="446" t="s">
        <v>406</v>
      </c>
      <c r="D52" s="408" t="s">
        <v>445</v>
      </c>
      <c r="E52" s="444" t="s">
        <v>235</v>
      </c>
      <c r="F52" s="429">
        <v>150</v>
      </c>
      <c r="G52" s="410">
        <f t="shared" si="6"/>
        <v>0.19383400000000001</v>
      </c>
      <c r="H52" s="445">
        <f t="shared" si="7"/>
        <v>29.075100000000003</v>
      </c>
      <c r="I52" s="43"/>
      <c r="J52" s="44">
        <f t="shared" si="3"/>
        <v>0.19383400000000001</v>
      </c>
      <c r="K52" s="59">
        <v>0.17</v>
      </c>
      <c r="L52" s="95"/>
      <c r="M52" s="24"/>
      <c r="N52" s="17"/>
      <c r="O52" s="24"/>
      <c r="P52" s="24"/>
      <c r="Q52" s="316" t="str">
        <f t="shared" si="5"/>
        <v>MDF-Man-0030/17</v>
      </c>
      <c r="S52" s="348">
        <f t="shared" si="8"/>
        <v>0</v>
      </c>
      <c r="U52" s="32" t="s">
        <v>139</v>
      </c>
      <c r="V52" s="105"/>
      <c r="W52" s="105"/>
      <c r="X52" s="509"/>
    </row>
    <row r="53" spans="1:24" s="316" customFormat="1" ht="27" customHeight="1">
      <c r="A53" s="423" t="s">
        <v>522</v>
      </c>
      <c r="B53" s="386" t="str">
        <f t="shared" si="4"/>
        <v>MDF-Man-0031/17</v>
      </c>
      <c r="C53" s="446" t="s">
        <v>406</v>
      </c>
      <c r="D53" s="408" t="s">
        <v>446</v>
      </c>
      <c r="E53" s="444" t="s">
        <v>235</v>
      </c>
      <c r="F53" s="429">
        <v>150</v>
      </c>
      <c r="G53" s="410">
        <f t="shared" si="6"/>
        <v>0.45608000000000004</v>
      </c>
      <c r="H53" s="445">
        <f t="shared" si="7"/>
        <v>68.412000000000006</v>
      </c>
      <c r="I53" s="43"/>
      <c r="J53" s="44">
        <f t="shared" si="3"/>
        <v>0.45608000000000004</v>
      </c>
      <c r="K53" s="59">
        <v>0.4</v>
      </c>
      <c r="L53" s="95"/>
      <c r="M53" s="24"/>
      <c r="N53" s="17"/>
      <c r="O53" s="24"/>
      <c r="P53" s="24"/>
      <c r="Q53" s="316" t="str">
        <f t="shared" si="5"/>
        <v>MDF-Man-0031/17</v>
      </c>
      <c r="S53" s="348">
        <f t="shared" si="8"/>
        <v>0</v>
      </c>
      <c r="U53" s="32" t="s">
        <v>140</v>
      </c>
      <c r="V53" s="105"/>
      <c r="W53" s="105"/>
      <c r="X53" s="509"/>
    </row>
    <row r="54" spans="1:24" s="316" customFormat="1" ht="27" customHeight="1">
      <c r="A54" s="423" t="s">
        <v>523</v>
      </c>
      <c r="B54" s="386" t="str">
        <f t="shared" si="4"/>
        <v>MDF-Man-0032/17</v>
      </c>
      <c r="C54" s="446" t="s">
        <v>406</v>
      </c>
      <c r="D54" s="441" t="s">
        <v>430</v>
      </c>
      <c r="E54" s="444" t="s">
        <v>1</v>
      </c>
      <c r="F54" s="429">
        <v>27</v>
      </c>
      <c r="G54" s="410">
        <f t="shared" si="6"/>
        <v>30.409134000000002</v>
      </c>
      <c r="H54" s="445">
        <f t="shared" ref="H54:H72" si="12">G54*F54</f>
        <v>821.04661800000008</v>
      </c>
      <c r="I54" s="44"/>
      <c r="J54" s="44">
        <f t="shared" si="3"/>
        <v>30.409134000000002</v>
      </c>
      <c r="K54" s="9">
        <v>26.67</v>
      </c>
      <c r="L54" s="95"/>
      <c r="M54" s="24"/>
      <c r="N54" s="17"/>
      <c r="O54" s="24"/>
      <c r="P54" s="24"/>
      <c r="Q54" s="316" t="str">
        <f t="shared" si="5"/>
        <v>MDF-Man-0032/17</v>
      </c>
      <c r="S54" s="348">
        <f t="shared" si="8"/>
        <v>0</v>
      </c>
      <c r="U54" s="32" t="s">
        <v>141</v>
      </c>
      <c r="V54" s="105"/>
      <c r="W54" s="105"/>
      <c r="X54" s="509"/>
    </row>
    <row r="55" spans="1:24" s="316" customFormat="1" ht="27" customHeight="1">
      <c r="A55" s="423" t="s">
        <v>524</v>
      </c>
      <c r="B55" s="386" t="str">
        <f t="shared" si="4"/>
        <v>MDF-Man-0033/17</v>
      </c>
      <c r="C55" s="446" t="s">
        <v>406</v>
      </c>
      <c r="D55" s="441" t="s">
        <v>434</v>
      </c>
      <c r="E55" s="444" t="s">
        <v>433</v>
      </c>
      <c r="F55" s="429">
        <v>30</v>
      </c>
      <c r="G55" s="410">
        <f t="shared" si="6"/>
        <v>20.649021999999999</v>
      </c>
      <c r="H55" s="445">
        <f t="shared" si="12"/>
        <v>619.47065999999995</v>
      </c>
      <c r="I55" s="44"/>
      <c r="J55" s="44">
        <f t="shared" si="3"/>
        <v>20.649021999999999</v>
      </c>
      <c r="K55" s="9">
        <v>18.11</v>
      </c>
      <c r="L55" s="95"/>
      <c r="M55" s="24"/>
      <c r="N55" s="17"/>
      <c r="O55" s="24"/>
      <c r="P55" s="24"/>
      <c r="Q55" s="316" t="str">
        <f t="shared" si="5"/>
        <v>MDF-Man-0033/17</v>
      </c>
      <c r="S55" s="348">
        <f t="shared" si="8"/>
        <v>0</v>
      </c>
      <c r="U55" s="32" t="s">
        <v>142</v>
      </c>
      <c r="V55" s="105"/>
      <c r="W55" s="105"/>
      <c r="X55" s="509"/>
    </row>
    <row r="56" spans="1:24" s="316" customFormat="1" ht="27" customHeight="1">
      <c r="A56" s="423" t="s">
        <v>525</v>
      </c>
      <c r="B56" s="386" t="str">
        <f t="shared" si="4"/>
        <v>MDF-Man-0034/17</v>
      </c>
      <c r="C56" s="446" t="s">
        <v>406</v>
      </c>
      <c r="D56" s="441" t="s">
        <v>463</v>
      </c>
      <c r="E56" s="444" t="s">
        <v>236</v>
      </c>
      <c r="F56" s="429">
        <v>100</v>
      </c>
      <c r="G56" s="410">
        <f t="shared" si="6"/>
        <v>19.725460000000002</v>
      </c>
      <c r="H56" s="445">
        <f t="shared" si="12"/>
        <v>1972.5460000000003</v>
      </c>
      <c r="I56" s="44"/>
      <c r="J56" s="44">
        <f t="shared" si="3"/>
        <v>19.725460000000002</v>
      </c>
      <c r="K56" s="9">
        <v>17.3</v>
      </c>
      <c r="L56" s="95"/>
      <c r="M56" s="24"/>
      <c r="N56" s="17"/>
      <c r="O56" s="24"/>
      <c r="P56" s="24"/>
      <c r="Q56" s="316" t="str">
        <f t="shared" si="5"/>
        <v>MDF-Man-0034/17</v>
      </c>
      <c r="S56" s="348">
        <f t="shared" si="8"/>
        <v>0</v>
      </c>
      <c r="U56" s="32" t="s">
        <v>143</v>
      </c>
      <c r="V56" s="105"/>
      <c r="W56" s="105"/>
      <c r="X56" s="509"/>
    </row>
    <row r="57" spans="1:24" s="316" customFormat="1" ht="27" customHeight="1">
      <c r="A57" s="423" t="s">
        <v>526</v>
      </c>
      <c r="B57" s="386" t="str">
        <f t="shared" si="4"/>
        <v>MDF-Man-0035/17</v>
      </c>
      <c r="C57" s="446" t="s">
        <v>406</v>
      </c>
      <c r="D57" s="441" t="s">
        <v>346</v>
      </c>
      <c r="E57" s="444" t="s">
        <v>236</v>
      </c>
      <c r="F57" s="429">
        <v>20</v>
      </c>
      <c r="G57" s="410">
        <f t="shared" si="6"/>
        <v>15.039237999999999</v>
      </c>
      <c r="H57" s="445">
        <f t="shared" si="12"/>
        <v>300.78476000000001</v>
      </c>
      <c r="I57" s="44"/>
      <c r="J57" s="44">
        <f t="shared" si="3"/>
        <v>15.039237999999999</v>
      </c>
      <c r="K57" s="9">
        <v>13.19</v>
      </c>
      <c r="L57" s="95"/>
      <c r="M57" s="24"/>
      <c r="N57" s="17"/>
      <c r="O57" s="24"/>
      <c r="P57" s="24"/>
      <c r="Q57" s="316" t="str">
        <f t="shared" si="5"/>
        <v>MDF-Man-0035/17</v>
      </c>
      <c r="S57" s="348">
        <f t="shared" si="8"/>
        <v>0</v>
      </c>
      <c r="U57" s="32" t="s">
        <v>144</v>
      </c>
      <c r="V57" s="105"/>
      <c r="W57" s="105"/>
      <c r="X57" s="509"/>
    </row>
    <row r="58" spans="1:24" s="316" customFormat="1" ht="27" customHeight="1">
      <c r="A58" s="423" t="s">
        <v>527</v>
      </c>
      <c r="B58" s="386" t="str">
        <f t="shared" si="4"/>
        <v>MDF-Man-0036/17</v>
      </c>
      <c r="C58" s="446" t="s">
        <v>406</v>
      </c>
      <c r="D58" s="441" t="s">
        <v>447</v>
      </c>
      <c r="E58" s="444" t="s">
        <v>235</v>
      </c>
      <c r="F58" s="429">
        <v>5</v>
      </c>
      <c r="G58" s="410">
        <f t="shared" si="6"/>
        <v>28.425186</v>
      </c>
      <c r="H58" s="445">
        <f t="shared" si="12"/>
        <v>142.12593000000001</v>
      </c>
      <c r="I58" s="44"/>
      <c r="J58" s="44">
        <f t="shared" si="3"/>
        <v>28.425186</v>
      </c>
      <c r="K58" s="9">
        <v>24.93</v>
      </c>
      <c r="L58" s="95"/>
      <c r="M58" s="24"/>
      <c r="N58" s="17"/>
      <c r="O58" s="24"/>
      <c r="P58" s="24"/>
      <c r="S58" s="348">
        <f t="shared" si="8"/>
        <v>0</v>
      </c>
      <c r="U58" s="32" t="s">
        <v>145</v>
      </c>
      <c r="V58" s="105"/>
      <c r="W58" s="105"/>
      <c r="X58" s="509"/>
    </row>
    <row r="59" spans="1:24" s="316" customFormat="1" ht="27" customHeight="1">
      <c r="A59" s="423" t="s">
        <v>528</v>
      </c>
      <c r="B59" s="386" t="str">
        <f t="shared" si="4"/>
        <v>MDF-Man-0037/17</v>
      </c>
      <c r="C59" s="446" t="s">
        <v>406</v>
      </c>
      <c r="D59" s="441" t="s">
        <v>354</v>
      </c>
      <c r="E59" s="444" t="s">
        <v>235</v>
      </c>
      <c r="F59" s="429">
        <v>8</v>
      </c>
      <c r="G59" s="410">
        <f t="shared" si="6"/>
        <v>40.385884000000004</v>
      </c>
      <c r="H59" s="445">
        <f t="shared" si="12"/>
        <v>323.08707200000003</v>
      </c>
      <c r="I59" s="44"/>
      <c r="J59" s="44">
        <f t="shared" si="3"/>
        <v>40.385884000000004</v>
      </c>
      <c r="K59" s="9">
        <v>35.42</v>
      </c>
      <c r="L59" s="95"/>
      <c r="M59" s="24"/>
      <c r="N59" s="17"/>
      <c r="O59" s="24"/>
      <c r="P59" s="24"/>
      <c r="Q59" s="316" t="str">
        <f>U59&amp;"/17"</f>
        <v>MDF-Man-0037/17</v>
      </c>
      <c r="S59" s="348">
        <f t="shared" si="8"/>
        <v>0</v>
      </c>
      <c r="U59" s="32" t="s">
        <v>146</v>
      </c>
      <c r="V59" s="105"/>
      <c r="W59" s="105"/>
      <c r="X59" s="509"/>
    </row>
    <row r="60" spans="1:24" s="316" customFormat="1" ht="27" customHeight="1">
      <c r="A60" s="423" t="s">
        <v>529</v>
      </c>
      <c r="B60" s="386" t="str">
        <f t="shared" si="4"/>
        <v>MDF-Man-0038/17</v>
      </c>
      <c r="C60" s="446" t="s">
        <v>406</v>
      </c>
      <c r="D60" s="441" t="s">
        <v>448</v>
      </c>
      <c r="E60" s="444" t="s">
        <v>235</v>
      </c>
      <c r="F60" s="429">
        <v>25</v>
      </c>
      <c r="G60" s="410">
        <f t="shared" si="6"/>
        <v>9.0873939999999997</v>
      </c>
      <c r="H60" s="445">
        <f t="shared" si="12"/>
        <v>227.18484999999998</v>
      </c>
      <c r="I60" s="44"/>
      <c r="J60" s="44">
        <f t="shared" si="3"/>
        <v>9.0873939999999997</v>
      </c>
      <c r="K60" s="9">
        <v>7.97</v>
      </c>
      <c r="L60" s="95"/>
      <c r="M60" s="24"/>
      <c r="N60" s="17"/>
      <c r="O60" s="24"/>
      <c r="P60" s="24"/>
      <c r="S60" s="348">
        <f t="shared" si="8"/>
        <v>0</v>
      </c>
      <c r="U60" s="32" t="s">
        <v>147</v>
      </c>
      <c r="V60" s="105"/>
      <c r="W60" s="105"/>
      <c r="X60" s="509"/>
    </row>
    <row r="61" spans="1:24" s="316" customFormat="1" ht="27" customHeight="1">
      <c r="A61" s="423" t="s">
        <v>530</v>
      </c>
      <c r="B61" s="386" t="str">
        <f t="shared" si="4"/>
        <v>MDF-Man-0039/17</v>
      </c>
      <c r="C61" s="446" t="s">
        <v>406</v>
      </c>
      <c r="D61" s="441" t="s">
        <v>355</v>
      </c>
      <c r="E61" s="444" t="s">
        <v>433</v>
      </c>
      <c r="F61" s="429">
        <v>4</v>
      </c>
      <c r="G61" s="410">
        <f t="shared" si="6"/>
        <v>24.252054000000001</v>
      </c>
      <c r="H61" s="445">
        <f t="shared" si="12"/>
        <v>97.008216000000004</v>
      </c>
      <c r="I61" s="44"/>
      <c r="J61" s="44">
        <f t="shared" ref="J61:J72" si="13">(K61*$H$156)+K61</f>
        <v>24.252054000000001</v>
      </c>
      <c r="K61" s="9">
        <v>21.27</v>
      </c>
      <c r="L61" s="95"/>
      <c r="M61" s="24"/>
      <c r="N61" s="17"/>
      <c r="O61" s="24"/>
      <c r="P61" s="24"/>
      <c r="Q61" s="316" t="str">
        <f>U61&amp;"/17"</f>
        <v>MDF-Man-0039/17</v>
      </c>
      <c r="S61" s="348">
        <f t="shared" si="8"/>
        <v>0</v>
      </c>
      <c r="U61" s="32" t="s">
        <v>148</v>
      </c>
      <c r="V61" s="105"/>
      <c r="W61" s="105"/>
      <c r="X61" s="509"/>
    </row>
    <row r="62" spans="1:24" s="316" customFormat="1" ht="27" customHeight="1">
      <c r="A62" s="423" t="s">
        <v>531</v>
      </c>
      <c r="B62" s="386" t="str">
        <f t="shared" si="4"/>
        <v>MDF-Man-0040/17</v>
      </c>
      <c r="C62" s="446" t="s">
        <v>406</v>
      </c>
      <c r="D62" s="441" t="s">
        <v>353</v>
      </c>
      <c r="E62" s="444" t="s">
        <v>235</v>
      </c>
      <c r="F62" s="429">
        <v>8</v>
      </c>
      <c r="G62" s="410">
        <f t="shared" si="6"/>
        <v>5.2107140000000003</v>
      </c>
      <c r="H62" s="445">
        <f t="shared" si="12"/>
        <v>41.685712000000002</v>
      </c>
      <c r="I62" s="44"/>
      <c r="J62" s="44">
        <f t="shared" si="13"/>
        <v>5.2107140000000003</v>
      </c>
      <c r="K62" s="9">
        <v>4.57</v>
      </c>
      <c r="L62" s="95"/>
      <c r="M62" s="24"/>
      <c r="N62" s="17"/>
      <c r="O62" s="24"/>
      <c r="P62" s="24"/>
      <c r="Q62" s="316" t="str">
        <f>U62&amp;"/17"</f>
        <v>MDF-Man-0040/17</v>
      </c>
      <c r="S62" s="348">
        <f t="shared" si="8"/>
        <v>0</v>
      </c>
      <c r="U62" s="32" t="s">
        <v>477</v>
      </c>
      <c r="V62" s="105"/>
      <c r="W62" s="105"/>
      <c r="X62" s="509"/>
    </row>
    <row r="63" spans="1:24" s="316" customFormat="1" ht="27" customHeight="1">
      <c r="A63" s="423" t="s">
        <v>532</v>
      </c>
      <c r="B63" s="386" t="str">
        <f t="shared" si="4"/>
        <v>MDF-Man-0041/17</v>
      </c>
      <c r="C63" s="446" t="s">
        <v>406</v>
      </c>
      <c r="D63" s="441" t="s">
        <v>421</v>
      </c>
      <c r="E63" s="444" t="s">
        <v>235</v>
      </c>
      <c r="F63" s="429">
        <v>6</v>
      </c>
      <c r="G63" s="410">
        <f t="shared" si="6"/>
        <v>4.7660359999999997</v>
      </c>
      <c r="H63" s="445">
        <f t="shared" si="12"/>
        <v>28.596215999999998</v>
      </c>
      <c r="I63" s="44"/>
      <c r="J63" s="44">
        <f t="shared" si="13"/>
        <v>4.7660359999999997</v>
      </c>
      <c r="K63" s="9">
        <v>4.18</v>
      </c>
      <c r="L63" s="95"/>
      <c r="M63" s="24"/>
      <c r="N63" s="17"/>
      <c r="O63" s="24"/>
      <c r="P63" s="24"/>
      <c r="S63" s="348">
        <f t="shared" si="8"/>
        <v>0</v>
      </c>
      <c r="U63" s="32" t="s">
        <v>149</v>
      </c>
      <c r="V63" s="105"/>
      <c r="W63" s="105"/>
      <c r="X63" s="509"/>
    </row>
    <row r="64" spans="1:24" s="316" customFormat="1" ht="27" customHeight="1">
      <c r="A64" s="423" t="s">
        <v>533</v>
      </c>
      <c r="B64" s="386" t="str">
        <f t="shared" si="4"/>
        <v>MDF-Man-0042/17</v>
      </c>
      <c r="C64" s="446" t="s">
        <v>406</v>
      </c>
      <c r="D64" s="441" t="s">
        <v>352</v>
      </c>
      <c r="E64" s="444" t="s">
        <v>235</v>
      </c>
      <c r="F64" s="429">
        <v>4</v>
      </c>
      <c r="G64" s="410">
        <f t="shared" si="6"/>
        <v>4.8458500000000004</v>
      </c>
      <c r="H64" s="445">
        <f t="shared" si="12"/>
        <v>19.383400000000002</v>
      </c>
      <c r="I64" s="44"/>
      <c r="J64" s="44">
        <f t="shared" si="13"/>
        <v>4.8458500000000004</v>
      </c>
      <c r="K64" s="9">
        <v>4.25</v>
      </c>
      <c r="L64" s="95"/>
      <c r="M64" s="24"/>
      <c r="N64" s="17"/>
      <c r="O64" s="24"/>
      <c r="P64" s="24"/>
      <c r="Q64" s="316" t="str">
        <f t="shared" ref="Q64:Q69" si="14">U64&amp;"/17"</f>
        <v>MDF-Man-0042/17</v>
      </c>
      <c r="S64" s="348">
        <f t="shared" si="8"/>
        <v>0</v>
      </c>
      <c r="U64" s="32" t="s">
        <v>150</v>
      </c>
      <c r="V64" s="105"/>
      <c r="W64" s="105"/>
      <c r="X64" s="509"/>
    </row>
    <row r="65" spans="1:24" s="316" customFormat="1" ht="27" customHeight="1">
      <c r="A65" s="423" t="s">
        <v>534</v>
      </c>
      <c r="B65" s="386" t="str">
        <f t="shared" si="4"/>
        <v>MDF-Man-0043/17</v>
      </c>
      <c r="C65" s="446" t="s">
        <v>406</v>
      </c>
      <c r="D65" s="441" t="s">
        <v>349</v>
      </c>
      <c r="E65" s="444" t="s">
        <v>408</v>
      </c>
      <c r="F65" s="429">
        <v>6</v>
      </c>
      <c r="G65" s="410">
        <f t="shared" si="6"/>
        <v>645.55843599999992</v>
      </c>
      <c r="H65" s="445">
        <f t="shared" si="12"/>
        <v>3873.3506159999997</v>
      </c>
      <c r="I65" s="44"/>
      <c r="J65" s="44">
        <f t="shared" si="13"/>
        <v>645.55843599999992</v>
      </c>
      <c r="K65" s="9">
        <v>566.17999999999995</v>
      </c>
      <c r="L65" s="95"/>
      <c r="M65" s="24"/>
      <c r="N65" s="17"/>
      <c r="O65" s="24"/>
      <c r="P65" s="24"/>
      <c r="Q65" s="316" t="str">
        <f t="shared" si="14"/>
        <v>MDF-Man-0043/17</v>
      </c>
      <c r="S65" s="348">
        <f t="shared" si="8"/>
        <v>0</v>
      </c>
      <c r="U65" s="32" t="s">
        <v>151</v>
      </c>
      <c r="V65" s="105"/>
      <c r="W65" s="105"/>
      <c r="X65" s="509"/>
    </row>
    <row r="66" spans="1:24" s="316" customFormat="1" ht="27" customHeight="1">
      <c r="A66" s="423" t="s">
        <v>535</v>
      </c>
      <c r="B66" s="386" t="str">
        <f t="shared" si="4"/>
        <v>MDF-Man-0044/17</v>
      </c>
      <c r="C66" s="446" t="s">
        <v>416</v>
      </c>
      <c r="D66" s="441" t="s">
        <v>348</v>
      </c>
      <c r="E66" s="444" t="s">
        <v>408</v>
      </c>
      <c r="F66" s="429">
        <v>10</v>
      </c>
      <c r="G66" s="410">
        <f t="shared" si="6"/>
        <v>515.86068599999999</v>
      </c>
      <c r="H66" s="445">
        <f t="shared" si="12"/>
        <v>5158.6068599999999</v>
      </c>
      <c r="I66" s="44"/>
      <c r="J66" s="44">
        <f t="shared" si="13"/>
        <v>515.86068599999999</v>
      </c>
      <c r="K66" s="9">
        <v>452.43</v>
      </c>
      <c r="L66" s="95"/>
      <c r="M66" s="24"/>
      <c r="N66" s="17"/>
      <c r="O66" s="24"/>
      <c r="P66" s="24"/>
      <c r="Q66" s="316" t="str">
        <f t="shared" si="14"/>
        <v>MDF-Man-0044/17</v>
      </c>
      <c r="S66" s="348">
        <f t="shared" si="8"/>
        <v>0</v>
      </c>
      <c r="U66" s="32" t="s">
        <v>152</v>
      </c>
      <c r="V66" s="105"/>
      <c r="W66" s="105"/>
      <c r="X66" s="509"/>
    </row>
    <row r="67" spans="1:24" s="316" customFormat="1" ht="27" customHeight="1">
      <c r="A67" s="423" t="s">
        <v>536</v>
      </c>
      <c r="B67" s="386" t="str">
        <f t="shared" si="4"/>
        <v>MDF-Man-0045/17</v>
      </c>
      <c r="C67" s="446" t="s">
        <v>406</v>
      </c>
      <c r="D67" s="441" t="s">
        <v>397</v>
      </c>
      <c r="E67" s="444" t="s">
        <v>232</v>
      </c>
      <c r="F67" s="429">
        <v>6</v>
      </c>
      <c r="G67" s="410">
        <f>J67</f>
        <v>41.936556000000003</v>
      </c>
      <c r="H67" s="445">
        <f>G67*F67</f>
        <v>251.61933600000003</v>
      </c>
      <c r="I67" s="44"/>
      <c r="J67" s="44">
        <f>(K67*$H$156)+K67</f>
        <v>41.936556000000003</v>
      </c>
      <c r="K67" s="9">
        <v>36.78</v>
      </c>
      <c r="L67" s="95"/>
      <c r="M67" s="24"/>
      <c r="N67" s="17"/>
      <c r="O67" s="24"/>
      <c r="P67" s="24"/>
      <c r="Q67" s="316" t="str">
        <f t="shared" si="14"/>
        <v>MDF-Man-0045/17</v>
      </c>
      <c r="S67" s="348">
        <f>V67</f>
        <v>0</v>
      </c>
      <c r="U67" s="32" t="s">
        <v>153</v>
      </c>
      <c r="V67" s="105"/>
      <c r="W67" s="105"/>
      <c r="X67" s="509"/>
    </row>
    <row r="68" spans="1:24" s="316" customFormat="1" ht="27" customHeight="1">
      <c r="A68" s="423" t="s">
        <v>537</v>
      </c>
      <c r="B68" s="386" t="str">
        <f t="shared" si="4"/>
        <v>MDF-Man-0046/17</v>
      </c>
      <c r="C68" s="446" t="s">
        <v>406</v>
      </c>
      <c r="D68" s="441" t="s">
        <v>407</v>
      </c>
      <c r="E68" s="444" t="s">
        <v>232</v>
      </c>
      <c r="F68" s="429">
        <v>10</v>
      </c>
      <c r="G68" s="410">
        <f t="shared" si="6"/>
        <v>59.324606000000003</v>
      </c>
      <c r="H68" s="445">
        <f t="shared" si="12"/>
        <v>593.24606000000006</v>
      </c>
      <c r="I68" s="44"/>
      <c r="J68" s="44">
        <f t="shared" si="13"/>
        <v>59.324606000000003</v>
      </c>
      <c r="K68" s="44">
        <v>52.03</v>
      </c>
      <c r="L68" s="95"/>
      <c r="M68" s="24"/>
      <c r="N68" s="17"/>
      <c r="O68" s="24"/>
      <c r="P68" s="24"/>
      <c r="Q68" s="316" t="str">
        <f t="shared" si="14"/>
        <v>MDF-Man-0046/17</v>
      </c>
      <c r="S68" s="348">
        <f t="shared" si="8"/>
        <v>0</v>
      </c>
      <c r="U68" s="32" t="s">
        <v>154</v>
      </c>
      <c r="V68" s="105"/>
      <c r="W68" s="105"/>
      <c r="X68" s="509"/>
    </row>
    <row r="69" spans="1:24" s="53" customFormat="1" ht="27" customHeight="1">
      <c r="A69" s="423" t="s">
        <v>538</v>
      </c>
      <c r="B69" s="386" t="str">
        <f t="shared" si="4"/>
        <v>MDF-Man-0047/17</v>
      </c>
      <c r="C69" s="430" t="s">
        <v>406</v>
      </c>
      <c r="D69" s="447" t="s">
        <v>347</v>
      </c>
      <c r="E69" s="409" t="s">
        <v>236</v>
      </c>
      <c r="F69" s="429">
        <v>10</v>
      </c>
      <c r="G69" s="410">
        <f t="shared" si="6"/>
        <v>30.523153999999998</v>
      </c>
      <c r="H69" s="445">
        <f t="shared" si="12"/>
        <v>305.23154</v>
      </c>
      <c r="I69" s="44"/>
      <c r="J69" s="44">
        <f t="shared" si="13"/>
        <v>30.523153999999998</v>
      </c>
      <c r="K69" s="44">
        <v>26.77</v>
      </c>
      <c r="L69" s="95"/>
      <c r="M69" s="51"/>
      <c r="N69" s="52"/>
      <c r="O69" s="51"/>
      <c r="P69" s="51"/>
      <c r="Q69" s="316" t="str">
        <f t="shared" si="14"/>
        <v>MDF-Man-0047/17</v>
      </c>
      <c r="S69" s="348">
        <f t="shared" si="8"/>
        <v>0</v>
      </c>
      <c r="U69" s="32" t="s">
        <v>155</v>
      </c>
      <c r="V69" s="107"/>
      <c r="W69" s="107"/>
      <c r="X69" s="512"/>
    </row>
    <row r="70" spans="1:24" s="53" customFormat="1" ht="27" customHeight="1">
      <c r="A70" s="423" t="s">
        <v>539</v>
      </c>
      <c r="B70" s="386" t="str">
        <f t="shared" si="4"/>
        <v>MDF-Man-0048/17</v>
      </c>
      <c r="C70" s="386" t="s">
        <v>406</v>
      </c>
      <c r="D70" s="441" t="s">
        <v>350</v>
      </c>
      <c r="E70" s="444" t="s">
        <v>1</v>
      </c>
      <c r="F70" s="429">
        <v>3</v>
      </c>
      <c r="G70" s="410">
        <f t="shared" si="6"/>
        <v>233.74099999999999</v>
      </c>
      <c r="H70" s="445">
        <f t="shared" si="12"/>
        <v>701.22299999999996</v>
      </c>
      <c r="I70" s="44"/>
      <c r="J70" s="44">
        <f t="shared" si="13"/>
        <v>233.74099999999999</v>
      </c>
      <c r="K70" s="44">
        <v>205</v>
      </c>
      <c r="L70" s="95"/>
      <c r="M70" s="51"/>
      <c r="N70" s="52"/>
      <c r="O70" s="51"/>
      <c r="P70" s="51"/>
      <c r="Q70" s="316"/>
      <c r="S70" s="348">
        <f t="shared" si="8"/>
        <v>0</v>
      </c>
      <c r="U70" s="32" t="s">
        <v>156</v>
      </c>
      <c r="V70" s="107"/>
      <c r="W70" s="107"/>
      <c r="X70" s="512"/>
    </row>
    <row r="71" spans="1:24" s="53" customFormat="1" ht="27" customHeight="1">
      <c r="A71" s="423" t="s">
        <v>540</v>
      </c>
      <c r="B71" s="386" t="str">
        <f t="shared" si="4"/>
        <v>MDF-Man-0049/17</v>
      </c>
      <c r="C71" s="386" t="s">
        <v>406</v>
      </c>
      <c r="D71" s="441" t="s">
        <v>437</v>
      </c>
      <c r="E71" s="444" t="s">
        <v>232</v>
      </c>
      <c r="F71" s="429">
        <v>3</v>
      </c>
      <c r="G71" s="410">
        <f t="shared" si="6"/>
        <v>108.11376399999999</v>
      </c>
      <c r="H71" s="445">
        <f t="shared" si="12"/>
        <v>324.34129199999995</v>
      </c>
      <c r="I71" s="44"/>
      <c r="J71" s="44">
        <f t="shared" si="13"/>
        <v>108.11376399999999</v>
      </c>
      <c r="K71" s="44">
        <v>94.82</v>
      </c>
      <c r="L71" s="95"/>
      <c r="M71" s="51"/>
      <c r="N71" s="52"/>
      <c r="O71" s="51"/>
      <c r="P71" s="51"/>
      <c r="Q71" s="316"/>
      <c r="S71" s="348">
        <f t="shared" si="8"/>
        <v>0</v>
      </c>
      <c r="U71" s="32" t="s">
        <v>157</v>
      </c>
      <c r="V71" s="107"/>
      <c r="W71" s="107"/>
      <c r="X71" s="512"/>
    </row>
    <row r="72" spans="1:24" s="53" customFormat="1" ht="27" customHeight="1">
      <c r="A72" s="423" t="s">
        <v>541</v>
      </c>
      <c r="B72" s="386" t="str">
        <f t="shared" si="4"/>
        <v>MDF-Man-0050/17</v>
      </c>
      <c r="C72" s="406" t="s">
        <v>425</v>
      </c>
      <c r="D72" s="441" t="s">
        <v>345</v>
      </c>
      <c r="E72" s="444" t="s">
        <v>232</v>
      </c>
      <c r="F72" s="429">
        <v>4</v>
      </c>
      <c r="G72" s="410">
        <f t="shared" si="6"/>
        <v>13.864832</v>
      </c>
      <c r="H72" s="445">
        <f t="shared" si="12"/>
        <v>55.459327999999999</v>
      </c>
      <c r="I72" s="44"/>
      <c r="J72" s="44">
        <f t="shared" si="13"/>
        <v>13.864832</v>
      </c>
      <c r="K72" s="44">
        <v>12.16</v>
      </c>
      <c r="L72" s="95"/>
      <c r="M72" s="51"/>
      <c r="N72" s="52"/>
      <c r="O72" s="51"/>
      <c r="P72" s="51"/>
      <c r="Q72" s="316"/>
      <c r="S72" s="348">
        <f t="shared" si="8"/>
        <v>0</v>
      </c>
      <c r="U72" s="32" t="s">
        <v>158</v>
      </c>
      <c r="V72" s="107"/>
      <c r="W72" s="107"/>
      <c r="X72" s="512"/>
    </row>
    <row r="73" spans="1:24" s="316" customFormat="1" ht="27" customHeight="1">
      <c r="A73" s="423" t="s">
        <v>542</v>
      </c>
      <c r="B73" s="386" t="str">
        <f t="shared" si="4"/>
        <v>MDF-Man-0051/17</v>
      </c>
      <c r="C73" s="446" t="s">
        <v>406</v>
      </c>
      <c r="D73" s="441" t="s">
        <v>379</v>
      </c>
      <c r="E73" s="444" t="s">
        <v>232</v>
      </c>
      <c r="F73" s="429">
        <v>7</v>
      </c>
      <c r="G73" s="410">
        <f>J73</f>
        <v>106.0386</v>
      </c>
      <c r="H73" s="445">
        <f>G73*F73</f>
        <v>742.27020000000005</v>
      </c>
      <c r="I73" s="44"/>
      <c r="J73" s="44">
        <f>(K73*$H$156)+K73</f>
        <v>106.0386</v>
      </c>
      <c r="K73" s="9">
        <v>93</v>
      </c>
      <c r="L73" s="95"/>
      <c r="M73" s="24"/>
      <c r="N73" s="17"/>
      <c r="O73" s="24"/>
      <c r="P73" s="24"/>
      <c r="Q73" s="316" t="str">
        <f>U73&amp;"/17"</f>
        <v>MDF-Man-0051/17</v>
      </c>
      <c r="S73" s="348">
        <f>V73</f>
        <v>0</v>
      </c>
      <c r="U73" s="32" t="s">
        <v>159</v>
      </c>
      <c r="V73" s="105"/>
      <c r="W73" s="105"/>
      <c r="X73" s="509"/>
    </row>
    <row r="74" spans="1:24" s="316" customFormat="1" ht="27" customHeight="1">
      <c r="A74" s="423" t="s">
        <v>543</v>
      </c>
      <c r="B74" s="386" t="str">
        <f>U74&amp;"/1"</f>
        <v>MDF-Man-0052/1</v>
      </c>
      <c r="C74" s="446" t="s">
        <v>406</v>
      </c>
      <c r="D74" s="441" t="s">
        <v>368</v>
      </c>
      <c r="E74" s="444" t="s">
        <v>433</v>
      </c>
      <c r="F74" s="429">
        <v>10</v>
      </c>
      <c r="G74" s="410">
        <f>J74</f>
        <v>3.7284540000000002</v>
      </c>
      <c r="H74" s="445">
        <f>G74*F74</f>
        <v>37.28454</v>
      </c>
      <c r="I74" s="44"/>
      <c r="J74" s="44">
        <f>(K74*$H$156)+K74</f>
        <v>3.7284540000000002</v>
      </c>
      <c r="K74" s="9">
        <v>3.27</v>
      </c>
      <c r="L74" s="95"/>
      <c r="M74" s="24"/>
      <c r="N74" s="17"/>
      <c r="O74" s="24"/>
      <c r="P74" s="24"/>
      <c r="Q74" s="316" t="str">
        <f>U74&amp;"/17"</f>
        <v>MDF-Man-0052/17</v>
      </c>
      <c r="S74" s="348">
        <f>V74</f>
        <v>0</v>
      </c>
      <c r="U74" s="32" t="s">
        <v>160</v>
      </c>
      <c r="V74" s="105"/>
      <c r="W74" s="105"/>
      <c r="X74" s="509"/>
    </row>
    <row r="75" spans="1:24" s="6" customFormat="1" ht="27" customHeight="1">
      <c r="A75" s="391"/>
      <c r="B75" s="414"/>
      <c r="C75" s="415"/>
      <c r="D75" s="416" t="s">
        <v>409</v>
      </c>
      <c r="E75" s="395"/>
      <c r="F75" s="448"/>
      <c r="G75" s="396"/>
      <c r="H75" s="482">
        <f>SUM(H39:H74)</f>
        <v>20112.580704</v>
      </c>
      <c r="I75" s="37"/>
      <c r="J75" s="44" t="s">
        <v>318</v>
      </c>
      <c r="K75" s="256"/>
      <c r="L75" s="258" t="s">
        <v>319</v>
      </c>
      <c r="M75" s="24"/>
      <c r="N75" s="26"/>
      <c r="O75" s="24"/>
      <c r="P75" s="24"/>
      <c r="Q75" s="316" t="str">
        <f>U75&amp;"/17"</f>
        <v>/17</v>
      </c>
      <c r="S75" s="59"/>
      <c r="U75" s="32"/>
      <c r="V75" s="104"/>
      <c r="W75" s="104"/>
      <c r="X75" s="513"/>
    </row>
    <row r="76" spans="1:24" s="6" customFormat="1" ht="27" hidden="1" customHeight="1">
      <c r="A76" s="391"/>
      <c r="B76" s="435"/>
      <c r="C76" s="436"/>
      <c r="D76" s="493"/>
      <c r="E76" s="494"/>
      <c r="F76" s="398"/>
      <c r="G76" s="398"/>
      <c r="H76" s="495"/>
      <c r="I76" s="37"/>
      <c r="J76" s="257"/>
      <c r="K76" s="256"/>
      <c r="L76" s="258"/>
      <c r="M76" s="24"/>
      <c r="N76" s="496"/>
      <c r="O76" s="24"/>
      <c r="P76" s="24"/>
      <c r="Q76" s="316"/>
      <c r="S76" s="18"/>
      <c r="U76" s="66"/>
      <c r="V76" s="104"/>
      <c r="W76" s="104"/>
      <c r="X76" s="513"/>
    </row>
    <row r="77" spans="1:24" s="53" customFormat="1" ht="27" customHeight="1">
      <c r="A77" s="419" t="s">
        <v>544</v>
      </c>
      <c r="B77" s="437" t="s">
        <v>513</v>
      </c>
      <c r="C77" s="438"/>
      <c r="D77" s="439"/>
      <c r="E77" s="420"/>
      <c r="F77" s="421"/>
      <c r="G77" s="421"/>
      <c r="H77" s="422"/>
      <c r="I77" s="43"/>
      <c r="J77" s="43"/>
      <c r="K77" s="43"/>
      <c r="L77" s="95"/>
      <c r="M77" s="51"/>
      <c r="N77" s="52"/>
      <c r="O77" s="51"/>
      <c r="P77" s="51"/>
      <c r="Q77" s="316"/>
      <c r="S77" s="65"/>
      <c r="U77" s="346"/>
      <c r="V77" s="107"/>
      <c r="W77" s="107"/>
      <c r="X77" s="512"/>
    </row>
    <row r="78" spans="1:24" s="53" customFormat="1" ht="30.75" customHeight="1">
      <c r="A78" s="407" t="s">
        <v>41</v>
      </c>
      <c r="B78" s="386" t="str">
        <f t="shared" ref="B78:B89" si="15">U78&amp;"/17"</f>
        <v>MDF-Man-0053/17</v>
      </c>
      <c r="C78" s="386" t="s">
        <v>416</v>
      </c>
      <c r="D78" s="440" t="s">
        <v>613</v>
      </c>
      <c r="E78" s="409" t="s">
        <v>2</v>
      </c>
      <c r="F78" s="410">
        <v>1611.65</v>
      </c>
      <c r="G78" s="410">
        <f>J78</f>
        <v>14.874288</v>
      </c>
      <c r="H78" s="411">
        <f>G78*F78</f>
        <v>23972.146255200001</v>
      </c>
      <c r="I78" s="43"/>
      <c r="J78" s="43">
        <f>(K78*$H$157)+K78</f>
        <v>14.874288</v>
      </c>
      <c r="K78" s="43">
        <v>11.82</v>
      </c>
      <c r="L78" s="95"/>
      <c r="M78" s="51"/>
      <c r="N78" s="52"/>
      <c r="O78" s="51"/>
      <c r="P78" s="51"/>
      <c r="Q78" s="316"/>
      <c r="S78" s="348">
        <f>V78</f>
        <v>0</v>
      </c>
      <c r="U78" s="346" t="s">
        <v>161</v>
      </c>
      <c r="V78" s="107"/>
      <c r="W78" s="107"/>
      <c r="X78" s="512"/>
    </row>
    <row r="79" spans="1:24" s="53" customFormat="1" ht="138.75" customHeight="1">
      <c r="A79" s="407" t="s">
        <v>54</v>
      </c>
      <c r="B79" s="386" t="str">
        <f t="shared" si="15"/>
        <v>MDF-Man-0054/17</v>
      </c>
      <c r="C79" s="386" t="s">
        <v>406</v>
      </c>
      <c r="D79" s="621" t="s">
        <v>614</v>
      </c>
      <c r="E79" s="409" t="s">
        <v>404</v>
      </c>
      <c r="F79" s="410">
        <v>2</v>
      </c>
      <c r="G79" s="410">
        <f>CPU_P.UNITARIO!F216</f>
        <v>676.39</v>
      </c>
      <c r="H79" s="411">
        <f t="shared" ref="H79:H89" si="16">G79*F79</f>
        <v>1352.78</v>
      </c>
      <c r="I79" s="43"/>
      <c r="J79" s="43">
        <f t="shared" ref="J79:J89" si="17">(K79*$H$157)+K79</f>
        <v>676.39</v>
      </c>
      <c r="K79" s="43">
        <f>(600+475)/2</f>
        <v>537.5</v>
      </c>
      <c r="L79" s="95"/>
      <c r="M79" s="51"/>
      <c r="N79" s="52"/>
      <c r="O79" s="51"/>
      <c r="P79" s="51"/>
      <c r="Q79" s="316"/>
      <c r="S79" s="348">
        <f>V79</f>
        <v>0</v>
      </c>
      <c r="U79" s="346" t="s">
        <v>162</v>
      </c>
      <c r="V79" s="107"/>
      <c r="W79" s="107"/>
      <c r="X79" s="512"/>
    </row>
    <row r="80" spans="1:24" s="53" customFormat="1" ht="139.5" customHeight="1">
      <c r="A80" s="407" t="s">
        <v>55</v>
      </c>
      <c r="B80" s="386" t="str">
        <f t="shared" si="15"/>
        <v>MDF-Man-0055/17</v>
      </c>
      <c r="C80" s="386" t="s">
        <v>406</v>
      </c>
      <c r="D80" s="621" t="s">
        <v>615</v>
      </c>
      <c r="E80" s="409" t="s">
        <v>404</v>
      </c>
      <c r="F80" s="410">
        <v>3</v>
      </c>
      <c r="G80" s="410">
        <f>CPU_P.UNITARIO!F223</f>
        <v>742.45600000000002</v>
      </c>
      <c r="H80" s="411">
        <f t="shared" si="16"/>
        <v>2227.3679999999999</v>
      </c>
      <c r="I80" s="43"/>
      <c r="J80" s="43">
        <f t="shared" si="17"/>
        <v>742.45600000000002</v>
      </c>
      <c r="K80" s="43">
        <f>(650+530)/2</f>
        <v>590</v>
      </c>
      <c r="L80" s="95"/>
      <c r="M80" s="51"/>
      <c r="N80" s="52"/>
      <c r="O80" s="51"/>
      <c r="P80" s="51"/>
      <c r="Q80" s="316"/>
      <c r="S80" s="348">
        <f t="shared" ref="S80:S88" si="18">V80</f>
        <v>0</v>
      </c>
      <c r="U80" s="346" t="s">
        <v>163</v>
      </c>
      <c r="V80" s="107"/>
      <c r="W80" s="107"/>
      <c r="X80" s="512"/>
    </row>
    <row r="81" spans="1:24" s="53" customFormat="1" ht="136.5" customHeight="1">
      <c r="A81" s="407" t="s">
        <v>56</v>
      </c>
      <c r="B81" s="386" t="str">
        <f t="shared" si="15"/>
        <v>MDF-Man-0056/17</v>
      </c>
      <c r="C81" s="386" t="s">
        <v>406</v>
      </c>
      <c r="D81" s="621" t="s">
        <v>470</v>
      </c>
      <c r="E81" s="409" t="s">
        <v>404</v>
      </c>
      <c r="F81" s="410">
        <v>8</v>
      </c>
      <c r="G81" s="410">
        <f>CPU_P.UNITARIO!F230</f>
        <v>924.92399999999998</v>
      </c>
      <c r="H81" s="411">
        <f t="shared" si="16"/>
        <v>7399.3919999999998</v>
      </c>
      <c r="I81" s="43"/>
      <c r="J81" s="43">
        <f t="shared" si="17"/>
        <v>924.92399999999998</v>
      </c>
      <c r="K81" s="43">
        <f>(800+670)/2</f>
        <v>735</v>
      </c>
      <c r="L81" s="95"/>
      <c r="M81" s="51"/>
      <c r="N81" s="52"/>
      <c r="O81" s="51"/>
      <c r="P81" s="51"/>
      <c r="Q81" s="316"/>
      <c r="S81" s="348">
        <f t="shared" si="18"/>
        <v>0</v>
      </c>
      <c r="U81" s="346" t="s">
        <v>164</v>
      </c>
      <c r="V81" s="107"/>
      <c r="W81" s="107"/>
      <c r="X81" s="512"/>
    </row>
    <row r="82" spans="1:24" s="53" customFormat="1" ht="146.25" customHeight="1">
      <c r="A82" s="407" t="s">
        <v>57</v>
      </c>
      <c r="B82" s="386" t="str">
        <f t="shared" si="15"/>
        <v>MDF-Man-0057/17</v>
      </c>
      <c r="C82" s="386" t="s">
        <v>406</v>
      </c>
      <c r="D82" s="621" t="s">
        <v>471</v>
      </c>
      <c r="E82" s="409" t="s">
        <v>404</v>
      </c>
      <c r="F82" s="410">
        <v>2</v>
      </c>
      <c r="G82" s="410">
        <f>CPU_P.UNITARIO!F237</f>
        <v>1013.0120000000001</v>
      </c>
      <c r="H82" s="411">
        <f t="shared" si="16"/>
        <v>2026.0240000000001</v>
      </c>
      <c r="I82" s="43"/>
      <c r="J82" s="43">
        <f t="shared" si="17"/>
        <v>1013.0120000000001</v>
      </c>
      <c r="K82" s="43">
        <f>(800+810)/2</f>
        <v>805</v>
      </c>
      <c r="L82" s="95"/>
      <c r="M82" s="51"/>
      <c r="N82" s="52"/>
      <c r="O82" s="51"/>
      <c r="P82" s="51"/>
      <c r="Q82" s="316"/>
      <c r="S82" s="348">
        <f t="shared" si="18"/>
        <v>0</v>
      </c>
      <c r="U82" s="346" t="s">
        <v>165</v>
      </c>
      <c r="V82" s="107"/>
      <c r="W82" s="107"/>
      <c r="X82" s="512"/>
    </row>
    <row r="83" spans="1:24" s="53" customFormat="1" ht="144" customHeight="1">
      <c r="A83" s="407" t="s">
        <v>58</v>
      </c>
      <c r="B83" s="386" t="str">
        <f t="shared" si="15"/>
        <v>MDF-Man-0058/17</v>
      </c>
      <c r="C83" s="386" t="s">
        <v>406</v>
      </c>
      <c r="D83" s="621" t="s">
        <v>472</v>
      </c>
      <c r="E83" s="409" t="s">
        <v>404</v>
      </c>
      <c r="F83" s="410">
        <v>5</v>
      </c>
      <c r="G83" s="410">
        <f>CPU_P.UNITARIO!F244</f>
        <v>1189.1880000000001</v>
      </c>
      <c r="H83" s="411">
        <f t="shared" si="16"/>
        <v>5945.9400000000005</v>
      </c>
      <c r="I83" s="43"/>
      <c r="J83" s="43">
        <f t="shared" si="17"/>
        <v>1025.596</v>
      </c>
      <c r="K83" s="43">
        <f>(900+730)/2</f>
        <v>815</v>
      </c>
      <c r="L83" s="95"/>
      <c r="M83" s="51"/>
      <c r="N83" s="52"/>
      <c r="O83" s="51"/>
      <c r="P83" s="51"/>
      <c r="Q83" s="316"/>
      <c r="S83" s="348">
        <f t="shared" si="18"/>
        <v>0</v>
      </c>
      <c r="U83" s="346" t="s">
        <v>401</v>
      </c>
      <c r="V83" s="107"/>
      <c r="W83" s="107"/>
      <c r="X83" s="512"/>
    </row>
    <row r="84" spans="1:24" s="53" customFormat="1" ht="145.5" customHeight="1">
      <c r="A84" s="407" t="s">
        <v>59</v>
      </c>
      <c r="B84" s="386" t="str">
        <f t="shared" si="15"/>
        <v>MDF-Man-0059/17</v>
      </c>
      <c r="C84" s="386" t="s">
        <v>406</v>
      </c>
      <c r="D84" s="621" t="s">
        <v>473</v>
      </c>
      <c r="E84" s="409" t="s">
        <v>404</v>
      </c>
      <c r="F84" s="410">
        <v>2</v>
      </c>
      <c r="G84" s="410">
        <f>CPU_P.UNITARIO!F251</f>
        <v>1025.596</v>
      </c>
      <c r="H84" s="411">
        <f t="shared" si="16"/>
        <v>2051.192</v>
      </c>
      <c r="I84" s="43"/>
      <c r="J84" s="43">
        <f t="shared" si="17"/>
        <v>1025.596</v>
      </c>
      <c r="K84" s="43">
        <f>(900+730)/2</f>
        <v>815</v>
      </c>
      <c r="L84" s="95"/>
      <c r="M84" s="51"/>
      <c r="N84" s="52"/>
      <c r="O84" s="51"/>
      <c r="P84" s="51"/>
      <c r="Q84" s="316"/>
      <c r="S84" s="348">
        <f t="shared" si="18"/>
        <v>0</v>
      </c>
      <c r="U84" s="346" t="s">
        <v>166</v>
      </c>
      <c r="V84" s="107"/>
      <c r="W84" s="107"/>
      <c r="X84" s="512"/>
    </row>
    <row r="85" spans="1:24" s="53" customFormat="1" ht="145.5" customHeight="1">
      <c r="A85" s="407" t="s">
        <v>60</v>
      </c>
      <c r="B85" s="386" t="str">
        <f t="shared" si="15"/>
        <v>MDF-Man-0060/17</v>
      </c>
      <c r="C85" s="386" t="s">
        <v>406</v>
      </c>
      <c r="D85" s="621" t="s">
        <v>474</v>
      </c>
      <c r="E85" s="409" t="s">
        <v>404</v>
      </c>
      <c r="F85" s="410">
        <v>2</v>
      </c>
      <c r="G85" s="410">
        <f>CPU_P.UNITARIO!F258</f>
        <v>1566.7080000000001</v>
      </c>
      <c r="H85" s="411">
        <f t="shared" si="16"/>
        <v>3133.4160000000002</v>
      </c>
      <c r="I85" s="43"/>
      <c r="J85" s="43">
        <f t="shared" si="17"/>
        <v>1566.7080000000001</v>
      </c>
      <c r="K85" s="43">
        <f>(1300+1190)/2</f>
        <v>1245</v>
      </c>
      <c r="L85" s="95"/>
      <c r="M85" s="51"/>
      <c r="N85" s="52"/>
      <c r="O85" s="51"/>
      <c r="P85" s="51"/>
      <c r="Q85" s="316"/>
      <c r="S85" s="348">
        <f t="shared" si="18"/>
        <v>0</v>
      </c>
      <c r="U85" s="346" t="s">
        <v>402</v>
      </c>
      <c r="V85" s="107"/>
      <c r="W85" s="107"/>
      <c r="X85" s="512"/>
    </row>
    <row r="86" spans="1:24" s="53" customFormat="1" ht="158.25" customHeight="1">
      <c r="A86" s="407" t="s">
        <v>61</v>
      </c>
      <c r="B86" s="386" t="str">
        <f t="shared" si="15"/>
        <v>MDF-Man-0061/17</v>
      </c>
      <c r="C86" s="386" t="s">
        <v>406</v>
      </c>
      <c r="D86" s="621" t="s">
        <v>468</v>
      </c>
      <c r="E86" s="409" t="s">
        <v>404</v>
      </c>
      <c r="F86" s="410">
        <v>3</v>
      </c>
      <c r="G86" s="410">
        <f>CPU_P.UNITARIO!F265</f>
        <v>1214.356</v>
      </c>
      <c r="H86" s="411">
        <f t="shared" si="16"/>
        <v>3643.0680000000002</v>
      </c>
      <c r="I86" s="43"/>
      <c r="J86" s="43">
        <f t="shared" si="17"/>
        <v>1189.1880000000001</v>
      </c>
      <c r="K86" s="43">
        <f>(900+990)/2</f>
        <v>945</v>
      </c>
      <c r="L86" s="95"/>
      <c r="M86" s="51"/>
      <c r="N86" s="52"/>
      <c r="O86" s="51"/>
      <c r="P86" s="51"/>
      <c r="Q86" s="316"/>
      <c r="S86" s="348">
        <f t="shared" si="18"/>
        <v>0</v>
      </c>
      <c r="U86" s="346" t="s">
        <v>167</v>
      </c>
      <c r="V86" s="107"/>
      <c r="W86" s="107"/>
      <c r="X86" s="512"/>
    </row>
    <row r="87" spans="1:24" s="53" customFormat="1" ht="156" customHeight="1">
      <c r="A87" s="407" t="s">
        <v>62</v>
      </c>
      <c r="B87" s="386" t="str">
        <f t="shared" si="15"/>
        <v>MDF-Man-0062/17</v>
      </c>
      <c r="C87" s="386" t="s">
        <v>406</v>
      </c>
      <c r="D87" s="621" t="s">
        <v>475</v>
      </c>
      <c r="E87" s="409" t="s">
        <v>404</v>
      </c>
      <c r="F87" s="410">
        <v>2</v>
      </c>
      <c r="G87" s="410">
        <f>CPU_P.UNITARIO!F272</f>
        <v>1277.2760000000001</v>
      </c>
      <c r="H87" s="411">
        <f t="shared" si="16"/>
        <v>2554.5520000000001</v>
      </c>
      <c r="I87" s="43"/>
      <c r="J87" s="43">
        <f>(K87*$H$157)+K87</f>
        <v>1025.596</v>
      </c>
      <c r="K87" s="43">
        <f>(900+730)/2</f>
        <v>815</v>
      </c>
      <c r="L87" s="95"/>
      <c r="M87" s="51"/>
      <c r="N87" s="52"/>
      <c r="O87" s="51"/>
      <c r="P87" s="51"/>
      <c r="Q87" s="316"/>
      <c r="S87" s="348">
        <f t="shared" si="18"/>
        <v>0</v>
      </c>
      <c r="U87" s="346" t="s">
        <v>403</v>
      </c>
      <c r="V87" s="107"/>
      <c r="W87" s="107"/>
      <c r="X87" s="512"/>
    </row>
    <row r="88" spans="1:24" s="53" customFormat="1" ht="159.75" customHeight="1">
      <c r="A88" s="407" t="s">
        <v>63</v>
      </c>
      <c r="B88" s="386" t="str">
        <f t="shared" si="15"/>
        <v>MDF-Man-0063/17</v>
      </c>
      <c r="C88" s="386" t="s">
        <v>406</v>
      </c>
      <c r="D88" s="621" t="s">
        <v>476</v>
      </c>
      <c r="E88" s="409" t="s">
        <v>404</v>
      </c>
      <c r="F88" s="410">
        <v>4</v>
      </c>
      <c r="G88" s="410">
        <f>CPU_P.UNITARIO!F279</f>
        <v>2007.1480000000001</v>
      </c>
      <c r="H88" s="411">
        <f t="shared" si="16"/>
        <v>8028.5920000000006</v>
      </c>
      <c r="I88" s="43"/>
      <c r="J88" s="43">
        <f t="shared" si="17"/>
        <v>1566.7080000000001</v>
      </c>
      <c r="K88" s="43">
        <f>(1300+1190)/2</f>
        <v>1245</v>
      </c>
      <c r="L88" s="95"/>
      <c r="M88" s="51"/>
      <c r="N88" s="52"/>
      <c r="O88" s="51"/>
      <c r="P88" s="51"/>
      <c r="Q88" s="316"/>
      <c r="S88" s="348">
        <f t="shared" si="18"/>
        <v>0</v>
      </c>
      <c r="U88" s="346" t="s">
        <v>168</v>
      </c>
      <c r="V88" s="107"/>
      <c r="W88" s="107"/>
      <c r="X88" s="512"/>
    </row>
    <row r="89" spans="1:24" s="53" customFormat="1" ht="147.75" customHeight="1">
      <c r="A89" s="407" t="s">
        <v>64</v>
      </c>
      <c r="B89" s="386" t="str">
        <f t="shared" si="15"/>
        <v>MDF-Man-0064/17</v>
      </c>
      <c r="C89" s="386" t="s">
        <v>406</v>
      </c>
      <c r="D89" s="622" t="s">
        <v>616</v>
      </c>
      <c r="E89" s="409" t="s">
        <v>404</v>
      </c>
      <c r="F89" s="410">
        <v>10</v>
      </c>
      <c r="G89" s="410">
        <f>CPU_P.UNITARIO!F286</f>
        <v>585.15599999999995</v>
      </c>
      <c r="H89" s="411">
        <f t="shared" si="16"/>
        <v>5851.5599999999995</v>
      </c>
      <c r="I89" s="43"/>
      <c r="J89" s="43">
        <f t="shared" si="17"/>
        <v>585.15599999999995</v>
      </c>
      <c r="K89" s="43">
        <f>(330+600)/2</f>
        <v>465</v>
      </c>
      <c r="L89" s="95"/>
      <c r="M89" s="51"/>
      <c r="N89" s="52"/>
      <c r="O89" s="51"/>
      <c r="P89" s="51"/>
      <c r="Q89" s="316"/>
      <c r="S89" s="357">
        <v>0</v>
      </c>
      <c r="U89" s="346" t="s">
        <v>169</v>
      </c>
      <c r="V89" s="107"/>
      <c r="W89" s="107"/>
      <c r="X89" s="512"/>
    </row>
    <row r="90" spans="1:24" s="6" customFormat="1" ht="27" customHeight="1">
      <c r="A90" s="391"/>
      <c r="B90" s="435"/>
      <c r="C90" s="436"/>
      <c r="D90" s="394" t="s">
        <v>410</v>
      </c>
      <c r="E90" s="395"/>
      <c r="F90" s="442"/>
      <c r="G90" s="396"/>
      <c r="H90" s="482">
        <f>SUM(H78:H89)</f>
        <v>68186.030255199992</v>
      </c>
      <c r="I90" s="37"/>
      <c r="J90" s="257" t="s">
        <v>318</v>
      </c>
      <c r="K90" s="256" t="s">
        <v>326</v>
      </c>
      <c r="L90" s="258" t="s">
        <v>319</v>
      </c>
      <c r="M90" s="24"/>
      <c r="N90" s="26"/>
      <c r="O90" s="24"/>
      <c r="P90" s="24"/>
      <c r="Q90" s="125" t="str">
        <f t="shared" ref="Q90:Q104" si="19">U90&amp;"/17"</f>
        <v>/17</v>
      </c>
      <c r="S90" s="59"/>
      <c r="U90" s="66"/>
      <c r="V90" s="104"/>
      <c r="W90" s="104"/>
      <c r="X90" s="513"/>
    </row>
    <row r="91" spans="1:24" s="316" customFormat="1" ht="27" customHeight="1">
      <c r="A91" s="449" t="s">
        <v>306</v>
      </c>
      <c r="B91" s="450" t="s">
        <v>512</v>
      </c>
      <c r="C91" s="451"/>
      <c r="D91" s="452"/>
      <c r="E91" s="453"/>
      <c r="F91" s="448"/>
      <c r="G91" s="454"/>
      <c r="H91" s="455"/>
      <c r="I91" s="44"/>
      <c r="J91" s="44">
        <f t="shared" ref="J91:J126" si="20">(K91*$H$156)+K91</f>
        <v>0</v>
      </c>
      <c r="K91" s="9"/>
      <c r="L91" s="95"/>
      <c r="M91" s="24"/>
      <c r="N91" s="17"/>
      <c r="O91" s="24"/>
      <c r="P91" s="24"/>
      <c r="Q91" s="316" t="str">
        <f t="shared" si="19"/>
        <v>/17</v>
      </c>
      <c r="S91" s="356"/>
      <c r="U91" s="32"/>
      <c r="V91" s="105"/>
      <c r="W91" s="105"/>
      <c r="X91" s="509"/>
    </row>
    <row r="92" spans="1:24" s="316" customFormat="1" ht="27" customHeight="1">
      <c r="A92" s="423" t="s">
        <v>65</v>
      </c>
      <c r="B92" s="386" t="str">
        <f t="shared" ref="B92:B123" si="21">U92&amp;"/17"</f>
        <v>MDF-Man-0065/17</v>
      </c>
      <c r="C92" s="446" t="s">
        <v>406</v>
      </c>
      <c r="D92" s="441" t="s">
        <v>390</v>
      </c>
      <c r="E92" s="444" t="s">
        <v>404</v>
      </c>
      <c r="F92" s="429">
        <v>6</v>
      </c>
      <c r="G92" s="410">
        <f t="shared" ref="G92:G123" si="22">J92</f>
        <v>18.471239999999998</v>
      </c>
      <c r="H92" s="445">
        <f t="shared" ref="H92:H123" si="23">G92*F92</f>
        <v>110.82744</v>
      </c>
      <c r="I92" s="44"/>
      <c r="J92" s="44">
        <f t="shared" si="20"/>
        <v>18.471239999999998</v>
      </c>
      <c r="K92" s="9">
        <v>16.2</v>
      </c>
      <c r="L92" s="95"/>
      <c r="M92" s="24"/>
      <c r="N92" s="17"/>
      <c r="O92" s="24"/>
      <c r="P92" s="24"/>
      <c r="Q92" s="316" t="str">
        <f t="shared" si="19"/>
        <v>MDF-Man-0065/17</v>
      </c>
      <c r="S92" s="348">
        <f t="shared" ref="S92:S152" si="24">V92</f>
        <v>0</v>
      </c>
      <c r="U92" s="32" t="s">
        <v>170</v>
      </c>
      <c r="V92" s="105"/>
      <c r="W92" s="105"/>
      <c r="X92" s="509"/>
    </row>
    <row r="93" spans="1:24" s="316" customFormat="1" ht="27" customHeight="1">
      <c r="A93" s="423" t="s">
        <v>66</v>
      </c>
      <c r="B93" s="386" t="str">
        <f t="shared" si="21"/>
        <v>MDF-Man-0066/17</v>
      </c>
      <c r="C93" s="446" t="s">
        <v>406</v>
      </c>
      <c r="D93" s="441" t="s">
        <v>391</v>
      </c>
      <c r="E93" s="444" t="s">
        <v>404</v>
      </c>
      <c r="F93" s="429">
        <v>6</v>
      </c>
      <c r="G93" s="410">
        <f t="shared" si="22"/>
        <v>18.687878000000001</v>
      </c>
      <c r="H93" s="445">
        <f t="shared" si="23"/>
        <v>112.12726800000002</v>
      </c>
      <c r="I93" s="44"/>
      <c r="J93" s="44">
        <f t="shared" si="20"/>
        <v>18.687878000000001</v>
      </c>
      <c r="K93" s="9">
        <v>16.39</v>
      </c>
      <c r="L93" s="95"/>
      <c r="M93" s="24"/>
      <c r="N93" s="17"/>
      <c r="O93" s="24"/>
      <c r="P93" s="24"/>
      <c r="Q93" s="316" t="str">
        <f t="shared" si="19"/>
        <v>MDF-Man-0066/17</v>
      </c>
      <c r="S93" s="348">
        <f t="shared" si="24"/>
        <v>0</v>
      </c>
      <c r="U93" s="32" t="s">
        <v>171</v>
      </c>
      <c r="V93" s="105"/>
      <c r="W93" s="105"/>
      <c r="X93" s="509"/>
    </row>
    <row r="94" spans="1:24" s="316" customFormat="1" ht="27" customHeight="1">
      <c r="A94" s="423" t="s">
        <v>67</v>
      </c>
      <c r="B94" s="386" t="str">
        <f t="shared" si="21"/>
        <v>MDF-Man-0067/17</v>
      </c>
      <c r="C94" s="446" t="s">
        <v>406</v>
      </c>
      <c r="D94" s="441" t="s">
        <v>392</v>
      </c>
      <c r="E94" s="444" t="s">
        <v>404</v>
      </c>
      <c r="F94" s="429">
        <v>6</v>
      </c>
      <c r="G94" s="410">
        <f t="shared" si="22"/>
        <v>20.329765999999999</v>
      </c>
      <c r="H94" s="445">
        <f t="shared" si="23"/>
        <v>121.978596</v>
      </c>
      <c r="I94" s="44"/>
      <c r="J94" s="44">
        <f t="shared" si="20"/>
        <v>20.329765999999999</v>
      </c>
      <c r="K94" s="9">
        <v>17.829999999999998</v>
      </c>
      <c r="L94" s="95"/>
      <c r="M94" s="24"/>
      <c r="N94" s="17"/>
      <c r="O94" s="24"/>
      <c r="P94" s="24"/>
      <c r="Q94" s="316" t="str">
        <f t="shared" si="19"/>
        <v>MDF-Man-0067/17</v>
      </c>
      <c r="S94" s="348">
        <f t="shared" si="24"/>
        <v>0</v>
      </c>
      <c r="U94" s="32" t="s">
        <v>172</v>
      </c>
      <c r="V94" s="105"/>
      <c r="W94" s="105"/>
      <c r="X94" s="509"/>
    </row>
    <row r="95" spans="1:24" s="316" customFormat="1" ht="27" customHeight="1">
      <c r="A95" s="423" t="s">
        <v>68</v>
      </c>
      <c r="B95" s="386" t="str">
        <f t="shared" si="21"/>
        <v>MDF-Man-0068/17</v>
      </c>
      <c r="C95" s="446" t="s">
        <v>406</v>
      </c>
      <c r="D95" s="441" t="s">
        <v>395</v>
      </c>
      <c r="E95" s="444" t="s">
        <v>433</v>
      </c>
      <c r="F95" s="429">
        <v>6</v>
      </c>
      <c r="G95" s="410">
        <f t="shared" si="22"/>
        <v>38.344926000000001</v>
      </c>
      <c r="H95" s="445">
        <f t="shared" si="23"/>
        <v>230.06955600000001</v>
      </c>
      <c r="I95" s="44"/>
      <c r="J95" s="44">
        <f t="shared" si="20"/>
        <v>38.344926000000001</v>
      </c>
      <c r="K95" s="9">
        <v>33.630000000000003</v>
      </c>
      <c r="L95" s="95"/>
      <c r="M95" s="24"/>
      <c r="N95" s="17"/>
      <c r="O95" s="24"/>
      <c r="P95" s="24"/>
      <c r="Q95" s="316" t="str">
        <f t="shared" si="19"/>
        <v>MDF-Man-0068/17</v>
      </c>
      <c r="S95" s="348">
        <f t="shared" si="24"/>
        <v>0</v>
      </c>
      <c r="U95" s="32" t="s">
        <v>173</v>
      </c>
      <c r="V95" s="105"/>
      <c r="W95" s="105"/>
      <c r="X95" s="509"/>
    </row>
    <row r="96" spans="1:24" s="316" customFormat="1" ht="27" customHeight="1">
      <c r="A96" s="423" t="s">
        <v>69</v>
      </c>
      <c r="B96" s="386" t="str">
        <f t="shared" si="21"/>
        <v>MDF-Man-0069/17</v>
      </c>
      <c r="C96" s="446" t="s">
        <v>406</v>
      </c>
      <c r="D96" s="441" t="s">
        <v>396</v>
      </c>
      <c r="E96" s="444" t="s">
        <v>433</v>
      </c>
      <c r="F96" s="429">
        <v>6</v>
      </c>
      <c r="G96" s="410">
        <f t="shared" si="22"/>
        <v>10.797694</v>
      </c>
      <c r="H96" s="445">
        <f t="shared" si="23"/>
        <v>64.786163999999999</v>
      </c>
      <c r="I96" s="44"/>
      <c r="J96" s="44">
        <f t="shared" si="20"/>
        <v>10.797694</v>
      </c>
      <c r="K96" s="9">
        <v>9.4700000000000006</v>
      </c>
      <c r="L96" s="95"/>
      <c r="M96" s="24"/>
      <c r="N96" s="17"/>
      <c r="O96" s="24"/>
      <c r="P96" s="24"/>
      <c r="Q96" s="316" t="str">
        <f t="shared" si="19"/>
        <v>MDF-Man-0069/17</v>
      </c>
      <c r="S96" s="348">
        <f t="shared" si="24"/>
        <v>0</v>
      </c>
      <c r="U96" s="32" t="s">
        <v>174</v>
      </c>
      <c r="V96" s="105"/>
      <c r="W96" s="105"/>
      <c r="X96" s="509"/>
    </row>
    <row r="97" spans="1:24" s="316" customFormat="1" ht="27" customHeight="1">
      <c r="A97" s="423" t="s">
        <v>70</v>
      </c>
      <c r="B97" s="386" t="str">
        <f t="shared" si="21"/>
        <v>MDF-Man-0070/17</v>
      </c>
      <c r="C97" s="446" t="s">
        <v>406</v>
      </c>
      <c r="D97" s="441" t="s">
        <v>431</v>
      </c>
      <c r="E97" s="444" t="s">
        <v>432</v>
      </c>
      <c r="F97" s="429">
        <v>10</v>
      </c>
      <c r="G97" s="410">
        <f t="shared" si="22"/>
        <v>860.17828199999997</v>
      </c>
      <c r="H97" s="445">
        <f t="shared" si="23"/>
        <v>8601.7828200000004</v>
      </c>
      <c r="I97" s="44"/>
      <c r="J97" s="44">
        <f t="shared" si="20"/>
        <v>860.17828199999997</v>
      </c>
      <c r="K97" s="9">
        <v>754.41</v>
      </c>
      <c r="L97" s="95"/>
      <c r="M97" s="24"/>
      <c r="N97" s="17"/>
      <c r="O97" s="24"/>
      <c r="P97" s="24"/>
      <c r="Q97" s="316" t="str">
        <f t="shared" si="19"/>
        <v>MDF-Man-0070/17</v>
      </c>
      <c r="S97" s="348">
        <f t="shared" si="24"/>
        <v>0</v>
      </c>
      <c r="U97" s="32" t="s">
        <v>175</v>
      </c>
      <c r="V97" s="105"/>
      <c r="W97" s="105"/>
      <c r="X97" s="509"/>
    </row>
    <row r="98" spans="1:24" s="316" customFormat="1" ht="27" customHeight="1">
      <c r="A98" s="423" t="s">
        <v>71</v>
      </c>
      <c r="B98" s="386" t="str">
        <f t="shared" si="21"/>
        <v>MDF-Man-0071/17</v>
      </c>
      <c r="C98" s="446" t="s">
        <v>406</v>
      </c>
      <c r="D98" s="441" t="s">
        <v>371</v>
      </c>
      <c r="E98" s="444" t="s">
        <v>404</v>
      </c>
      <c r="F98" s="429">
        <v>3</v>
      </c>
      <c r="G98" s="410">
        <f t="shared" si="22"/>
        <v>389.651948</v>
      </c>
      <c r="H98" s="445">
        <f t="shared" si="23"/>
        <v>1168.9558440000001</v>
      </c>
      <c r="I98" s="44"/>
      <c r="J98" s="44">
        <f t="shared" si="20"/>
        <v>389.651948</v>
      </c>
      <c r="K98" s="9">
        <v>341.74</v>
      </c>
      <c r="L98" s="95"/>
      <c r="M98" s="24"/>
      <c r="N98" s="17"/>
      <c r="O98" s="24"/>
      <c r="P98" s="24"/>
      <c r="Q98" s="316" t="str">
        <f t="shared" si="19"/>
        <v>MDF-Man-0071/17</v>
      </c>
      <c r="S98" s="348">
        <f t="shared" si="24"/>
        <v>0</v>
      </c>
      <c r="U98" s="32" t="s">
        <v>176</v>
      </c>
      <c r="V98" s="105"/>
      <c r="W98" s="105"/>
      <c r="X98" s="509"/>
    </row>
    <row r="99" spans="1:24" s="316" customFormat="1" ht="27" customHeight="1">
      <c r="A99" s="423" t="s">
        <v>72</v>
      </c>
      <c r="B99" s="386" t="str">
        <f t="shared" si="21"/>
        <v>MDF-Man-0072/17</v>
      </c>
      <c r="C99" s="446" t="s">
        <v>406</v>
      </c>
      <c r="D99" s="441" t="s">
        <v>372</v>
      </c>
      <c r="E99" s="444" t="s">
        <v>404</v>
      </c>
      <c r="F99" s="429">
        <v>3</v>
      </c>
      <c r="G99" s="410">
        <f t="shared" si="22"/>
        <v>364.29390000000001</v>
      </c>
      <c r="H99" s="445">
        <f t="shared" si="23"/>
        <v>1092.8816999999999</v>
      </c>
      <c r="I99" s="44"/>
      <c r="J99" s="44">
        <f t="shared" si="20"/>
        <v>364.29390000000001</v>
      </c>
      <c r="K99" s="9">
        <v>319.5</v>
      </c>
      <c r="L99" s="95"/>
      <c r="M99" s="24"/>
      <c r="N99" s="17"/>
      <c r="O99" s="24"/>
      <c r="P99" s="24"/>
      <c r="Q99" s="316" t="str">
        <f t="shared" si="19"/>
        <v>MDF-Man-0072/17</v>
      </c>
      <c r="S99" s="348">
        <f t="shared" si="24"/>
        <v>0</v>
      </c>
      <c r="U99" s="32" t="s">
        <v>177</v>
      </c>
      <c r="V99" s="105"/>
      <c r="W99" s="105"/>
      <c r="X99" s="509"/>
    </row>
    <row r="100" spans="1:24" s="316" customFormat="1" ht="27" customHeight="1">
      <c r="A100" s="423" t="s">
        <v>73</v>
      </c>
      <c r="B100" s="386" t="str">
        <f t="shared" si="21"/>
        <v>MDF-Man-0073/17</v>
      </c>
      <c r="C100" s="446" t="s">
        <v>406</v>
      </c>
      <c r="D100" s="441" t="s">
        <v>417</v>
      </c>
      <c r="E100" s="444" t="s">
        <v>433</v>
      </c>
      <c r="F100" s="429">
        <v>3</v>
      </c>
      <c r="G100" s="410">
        <f t="shared" si="22"/>
        <v>779.14426800000001</v>
      </c>
      <c r="H100" s="445">
        <f t="shared" si="23"/>
        <v>2337.432804</v>
      </c>
      <c r="I100" s="44"/>
      <c r="J100" s="44">
        <f t="shared" si="20"/>
        <v>779.14426800000001</v>
      </c>
      <c r="K100" s="345">
        <v>683.34</v>
      </c>
      <c r="L100" s="95"/>
      <c r="M100" s="24"/>
      <c r="N100" s="17"/>
      <c r="O100" s="24"/>
      <c r="P100" s="24"/>
      <c r="Q100" s="316" t="str">
        <f t="shared" si="19"/>
        <v>MDF-Man-0073/17</v>
      </c>
      <c r="S100" s="348">
        <f t="shared" si="24"/>
        <v>0</v>
      </c>
      <c r="U100" s="32" t="s">
        <v>178</v>
      </c>
      <c r="V100" s="105"/>
      <c r="W100" s="105"/>
      <c r="X100" s="509"/>
    </row>
    <row r="101" spans="1:24" s="316" customFormat="1" ht="27" customHeight="1">
      <c r="A101" s="423" t="s">
        <v>74</v>
      </c>
      <c r="B101" s="386" t="str">
        <f t="shared" si="21"/>
        <v>MDF-Man-0074/17</v>
      </c>
      <c r="C101" s="446" t="s">
        <v>416</v>
      </c>
      <c r="D101" s="441" t="s">
        <v>418</v>
      </c>
      <c r="E101" s="444" t="s">
        <v>433</v>
      </c>
      <c r="F101" s="429">
        <v>6</v>
      </c>
      <c r="G101" s="410">
        <f t="shared" si="22"/>
        <v>682.40970000000004</v>
      </c>
      <c r="H101" s="445">
        <f t="shared" si="23"/>
        <v>4094.4582</v>
      </c>
      <c r="I101" s="44"/>
      <c r="J101" s="44">
        <f t="shared" si="20"/>
        <v>682.40970000000004</v>
      </c>
      <c r="K101" s="9">
        <v>598.5</v>
      </c>
      <c r="L101" s="95"/>
      <c r="M101" s="24"/>
      <c r="N101" s="17"/>
      <c r="O101" s="24"/>
      <c r="P101" s="24"/>
      <c r="Q101" s="316" t="str">
        <f t="shared" si="19"/>
        <v>MDF-Man-0074/17</v>
      </c>
      <c r="S101" s="348">
        <f t="shared" si="24"/>
        <v>0</v>
      </c>
      <c r="U101" s="32" t="s">
        <v>179</v>
      </c>
      <c r="V101" s="105"/>
      <c r="W101" s="105"/>
      <c r="X101" s="509"/>
    </row>
    <row r="102" spans="1:24" s="316" customFormat="1" ht="27" customHeight="1">
      <c r="A102" s="423" t="s">
        <v>75</v>
      </c>
      <c r="B102" s="386" t="str">
        <f t="shared" si="21"/>
        <v>MDF-Man-0075/17</v>
      </c>
      <c r="C102" s="446" t="s">
        <v>406</v>
      </c>
      <c r="D102" s="441" t="s">
        <v>378</v>
      </c>
      <c r="E102" s="444" t="s">
        <v>433</v>
      </c>
      <c r="F102" s="429">
        <v>6</v>
      </c>
      <c r="G102" s="410">
        <f t="shared" si="22"/>
        <v>853.72474999999997</v>
      </c>
      <c r="H102" s="445">
        <f t="shared" si="23"/>
        <v>5122.3485000000001</v>
      </c>
      <c r="I102" s="44"/>
      <c r="J102" s="44">
        <f t="shared" si="20"/>
        <v>853.72474999999997</v>
      </c>
      <c r="K102" s="9">
        <v>748.75</v>
      </c>
      <c r="L102" s="95"/>
      <c r="M102" s="24"/>
      <c r="N102" s="17"/>
      <c r="O102" s="24"/>
      <c r="P102" s="24"/>
      <c r="Q102" s="316" t="str">
        <f t="shared" si="19"/>
        <v>MDF-Man-0075/17</v>
      </c>
      <c r="S102" s="348">
        <f t="shared" si="24"/>
        <v>0</v>
      </c>
      <c r="U102" s="32" t="s">
        <v>180</v>
      </c>
      <c r="V102" s="105"/>
      <c r="W102" s="105"/>
      <c r="X102" s="509"/>
    </row>
    <row r="103" spans="1:24" s="316" customFormat="1" ht="27" customHeight="1">
      <c r="A103" s="423" t="s">
        <v>76</v>
      </c>
      <c r="B103" s="386" t="str">
        <f t="shared" si="21"/>
        <v>MDF-Man-0076/17</v>
      </c>
      <c r="C103" s="446" t="s">
        <v>406</v>
      </c>
      <c r="D103" s="441" t="s">
        <v>429</v>
      </c>
      <c r="E103" s="444" t="s">
        <v>404</v>
      </c>
      <c r="F103" s="429">
        <v>15</v>
      </c>
      <c r="G103" s="410">
        <f t="shared" si="22"/>
        <v>36.189948000000001</v>
      </c>
      <c r="H103" s="445">
        <f t="shared" si="23"/>
        <v>542.84922000000006</v>
      </c>
      <c r="I103" s="44"/>
      <c r="J103" s="44">
        <f t="shared" si="20"/>
        <v>36.189948000000001</v>
      </c>
      <c r="K103" s="9">
        <v>31.74</v>
      </c>
      <c r="L103" s="95"/>
      <c r="M103" s="24"/>
      <c r="N103" s="17"/>
      <c r="O103" s="24"/>
      <c r="P103" s="24"/>
      <c r="Q103" s="316" t="str">
        <f t="shared" si="19"/>
        <v>MDF-Man-0076/17</v>
      </c>
      <c r="S103" s="348">
        <f t="shared" si="24"/>
        <v>0</v>
      </c>
      <c r="U103" s="32" t="s">
        <v>181</v>
      </c>
      <c r="V103" s="105"/>
      <c r="W103" s="105"/>
      <c r="X103" s="509"/>
    </row>
    <row r="104" spans="1:24" s="316" customFormat="1" ht="27" customHeight="1">
      <c r="A104" s="423" t="s">
        <v>77</v>
      </c>
      <c r="B104" s="386" t="str">
        <f t="shared" si="21"/>
        <v>MDF-Man-0077/17</v>
      </c>
      <c r="C104" s="446" t="s">
        <v>406</v>
      </c>
      <c r="D104" s="441" t="s">
        <v>384</v>
      </c>
      <c r="E104" s="444" t="s">
        <v>404</v>
      </c>
      <c r="F104" s="429">
        <v>15</v>
      </c>
      <c r="G104" s="410">
        <f t="shared" si="22"/>
        <v>14.548952</v>
      </c>
      <c r="H104" s="445">
        <f t="shared" si="23"/>
        <v>218.23428000000001</v>
      </c>
      <c r="I104" s="44"/>
      <c r="J104" s="44">
        <f t="shared" si="20"/>
        <v>14.548952</v>
      </c>
      <c r="K104" s="9">
        <v>12.76</v>
      </c>
      <c r="L104" s="95"/>
      <c r="M104" s="24"/>
      <c r="N104" s="17"/>
      <c r="O104" s="24"/>
      <c r="P104" s="24"/>
      <c r="Q104" s="316" t="str">
        <f t="shared" si="19"/>
        <v>MDF-Man-0077/17</v>
      </c>
      <c r="S104" s="348">
        <f t="shared" si="24"/>
        <v>0</v>
      </c>
      <c r="U104" s="32" t="s">
        <v>182</v>
      </c>
      <c r="V104" s="105"/>
      <c r="W104" s="105"/>
      <c r="X104" s="509"/>
    </row>
    <row r="105" spans="1:24" s="316" customFormat="1" ht="27" customHeight="1">
      <c r="A105" s="423" t="s">
        <v>78</v>
      </c>
      <c r="B105" s="386" t="str">
        <f t="shared" si="21"/>
        <v>MDF-Man-0078/17</v>
      </c>
      <c r="C105" s="446" t="s">
        <v>406</v>
      </c>
      <c r="D105" s="441" t="s">
        <v>449</v>
      </c>
      <c r="E105" s="444" t="s">
        <v>404</v>
      </c>
      <c r="F105" s="429">
        <v>6</v>
      </c>
      <c r="G105" s="410">
        <f t="shared" si="22"/>
        <v>24.195043999999999</v>
      </c>
      <c r="H105" s="445">
        <f t="shared" si="23"/>
        <v>145.170264</v>
      </c>
      <c r="I105" s="44"/>
      <c r="J105" s="44">
        <f t="shared" si="20"/>
        <v>24.195043999999999</v>
      </c>
      <c r="K105" s="9">
        <v>21.22</v>
      </c>
      <c r="L105" s="95"/>
      <c r="M105" s="24"/>
      <c r="N105" s="17"/>
      <c r="O105" s="24"/>
      <c r="P105" s="24"/>
      <c r="S105" s="348">
        <f t="shared" si="24"/>
        <v>0</v>
      </c>
      <c r="U105" s="32" t="s">
        <v>183</v>
      </c>
      <c r="V105" s="105"/>
      <c r="W105" s="105"/>
      <c r="X105" s="509"/>
    </row>
    <row r="106" spans="1:24" s="316" customFormat="1" ht="27" customHeight="1">
      <c r="A106" s="423" t="s">
        <v>79</v>
      </c>
      <c r="B106" s="386" t="str">
        <f t="shared" si="21"/>
        <v>MDF-Man-0079/17</v>
      </c>
      <c r="C106" s="446" t="s">
        <v>406</v>
      </c>
      <c r="D106" s="441" t="s">
        <v>450</v>
      </c>
      <c r="E106" s="444" t="s">
        <v>404</v>
      </c>
      <c r="F106" s="429">
        <v>6</v>
      </c>
      <c r="G106" s="410">
        <f t="shared" si="22"/>
        <v>26.566659999999999</v>
      </c>
      <c r="H106" s="445">
        <f t="shared" si="23"/>
        <v>159.39995999999999</v>
      </c>
      <c r="I106" s="44"/>
      <c r="J106" s="44">
        <f t="shared" si="20"/>
        <v>26.566659999999999</v>
      </c>
      <c r="K106" s="9">
        <v>23.3</v>
      </c>
      <c r="L106" s="95"/>
      <c r="M106" s="24"/>
      <c r="N106" s="17"/>
      <c r="O106" s="24"/>
      <c r="P106" s="24"/>
      <c r="S106" s="348">
        <f t="shared" si="24"/>
        <v>0</v>
      </c>
      <c r="U106" s="32" t="s">
        <v>184</v>
      </c>
      <c r="V106" s="105"/>
      <c r="W106" s="105"/>
      <c r="X106" s="509"/>
    </row>
    <row r="107" spans="1:24" s="316" customFormat="1" ht="27" customHeight="1">
      <c r="A107" s="423" t="s">
        <v>80</v>
      </c>
      <c r="B107" s="386" t="str">
        <f t="shared" si="21"/>
        <v>MDF-Man-0080/17</v>
      </c>
      <c r="C107" s="446" t="s">
        <v>406</v>
      </c>
      <c r="D107" s="441" t="s">
        <v>451</v>
      </c>
      <c r="E107" s="444" t="s">
        <v>404</v>
      </c>
      <c r="F107" s="429">
        <v>6</v>
      </c>
      <c r="G107" s="410">
        <f t="shared" si="22"/>
        <v>25.255429999999997</v>
      </c>
      <c r="H107" s="445">
        <f t="shared" si="23"/>
        <v>151.53258</v>
      </c>
      <c r="I107" s="44"/>
      <c r="J107" s="44">
        <f t="shared" si="20"/>
        <v>25.255429999999997</v>
      </c>
      <c r="K107" s="9">
        <v>22.15</v>
      </c>
      <c r="L107" s="95"/>
      <c r="M107" s="24"/>
      <c r="N107" s="17"/>
      <c r="O107" s="24"/>
      <c r="P107" s="24"/>
      <c r="S107" s="348">
        <f t="shared" si="24"/>
        <v>0</v>
      </c>
      <c r="U107" s="32" t="s">
        <v>478</v>
      </c>
      <c r="V107" s="105"/>
      <c r="W107" s="105"/>
      <c r="X107" s="509"/>
    </row>
    <row r="108" spans="1:24" s="316" customFormat="1" ht="27" customHeight="1">
      <c r="A108" s="423" t="s">
        <v>81</v>
      </c>
      <c r="B108" s="386" t="str">
        <f t="shared" si="21"/>
        <v>MDF-Man-0081/17</v>
      </c>
      <c r="C108" s="446" t="s">
        <v>406</v>
      </c>
      <c r="D108" s="441" t="s">
        <v>452</v>
      </c>
      <c r="E108" s="444" t="s">
        <v>404</v>
      </c>
      <c r="F108" s="429">
        <v>6</v>
      </c>
      <c r="G108" s="410">
        <f t="shared" si="22"/>
        <v>27.866488</v>
      </c>
      <c r="H108" s="445">
        <f t="shared" si="23"/>
        <v>167.198928</v>
      </c>
      <c r="I108" s="44"/>
      <c r="J108" s="44">
        <f t="shared" si="20"/>
        <v>27.866488</v>
      </c>
      <c r="K108" s="9">
        <v>24.44</v>
      </c>
      <c r="L108" s="95"/>
      <c r="M108" s="24"/>
      <c r="N108" s="17"/>
      <c r="O108" s="24"/>
      <c r="P108" s="24"/>
      <c r="S108" s="348">
        <f t="shared" si="24"/>
        <v>0</v>
      </c>
      <c r="U108" s="32" t="s">
        <v>185</v>
      </c>
      <c r="V108" s="105"/>
      <c r="W108" s="105"/>
      <c r="X108" s="509"/>
    </row>
    <row r="109" spans="1:24" s="316" customFormat="1" ht="27" customHeight="1">
      <c r="A109" s="423" t="s">
        <v>82</v>
      </c>
      <c r="B109" s="386" t="str">
        <f t="shared" si="21"/>
        <v>MDF-Man-0082/17</v>
      </c>
      <c r="C109" s="446" t="s">
        <v>406</v>
      </c>
      <c r="D109" s="441" t="s">
        <v>453</v>
      </c>
      <c r="E109" s="444" t="s">
        <v>433</v>
      </c>
      <c r="F109" s="429">
        <v>6</v>
      </c>
      <c r="G109" s="410">
        <f t="shared" si="22"/>
        <v>25.072997999999998</v>
      </c>
      <c r="H109" s="445">
        <f t="shared" si="23"/>
        <v>150.43798799999999</v>
      </c>
      <c r="I109" s="44"/>
      <c r="J109" s="44">
        <f t="shared" si="20"/>
        <v>25.072997999999998</v>
      </c>
      <c r="K109" s="9">
        <v>21.99</v>
      </c>
      <c r="L109" s="95"/>
      <c r="M109" s="24"/>
      <c r="N109" s="17"/>
      <c r="O109" s="24"/>
      <c r="P109" s="24"/>
      <c r="S109" s="348">
        <f t="shared" si="24"/>
        <v>0</v>
      </c>
      <c r="U109" s="32" t="s">
        <v>186</v>
      </c>
      <c r="V109" s="105"/>
      <c r="W109" s="105"/>
      <c r="X109" s="509"/>
    </row>
    <row r="110" spans="1:24" s="316" customFormat="1" ht="27" customHeight="1">
      <c r="A110" s="423" t="s">
        <v>83</v>
      </c>
      <c r="B110" s="386" t="str">
        <f t="shared" si="21"/>
        <v>MDF-Man-0083/17</v>
      </c>
      <c r="C110" s="446" t="s">
        <v>406</v>
      </c>
      <c r="D110" s="441" t="s">
        <v>503</v>
      </c>
      <c r="E110" s="444" t="s">
        <v>433</v>
      </c>
      <c r="F110" s="429">
        <v>6</v>
      </c>
      <c r="G110" s="410">
        <f t="shared" si="22"/>
        <v>29.417159999999999</v>
      </c>
      <c r="H110" s="445">
        <f t="shared" si="23"/>
        <v>176.50296</v>
      </c>
      <c r="I110" s="44"/>
      <c r="J110" s="44">
        <f t="shared" si="20"/>
        <v>29.417159999999999</v>
      </c>
      <c r="K110" s="9">
        <v>25.8</v>
      </c>
      <c r="L110" s="95"/>
      <c r="M110" s="24"/>
      <c r="N110" s="17"/>
      <c r="O110" s="24"/>
      <c r="P110" s="24"/>
      <c r="S110" s="348"/>
      <c r="U110" s="32" t="s">
        <v>187</v>
      </c>
      <c r="V110" s="105"/>
      <c r="W110" s="105"/>
      <c r="X110" s="509"/>
    </row>
    <row r="111" spans="1:24" s="316" customFormat="1" ht="27" customHeight="1">
      <c r="A111" s="423" t="s">
        <v>84</v>
      </c>
      <c r="B111" s="386" t="str">
        <f t="shared" si="21"/>
        <v>MDF-Man-0084/17</v>
      </c>
      <c r="C111" s="446" t="s">
        <v>406</v>
      </c>
      <c r="D111" s="441" t="s">
        <v>504</v>
      </c>
      <c r="E111" s="444" t="s">
        <v>433</v>
      </c>
      <c r="F111" s="429">
        <v>6</v>
      </c>
      <c r="G111" s="410">
        <f t="shared" si="22"/>
        <v>48.230459999999994</v>
      </c>
      <c r="H111" s="445">
        <f t="shared" si="23"/>
        <v>289.38275999999996</v>
      </c>
      <c r="I111" s="44"/>
      <c r="J111" s="44">
        <f t="shared" si="20"/>
        <v>48.230459999999994</v>
      </c>
      <c r="K111" s="9">
        <v>42.3</v>
      </c>
      <c r="L111" s="95"/>
      <c r="M111" s="24"/>
      <c r="N111" s="17"/>
      <c r="O111" s="24"/>
      <c r="P111" s="24"/>
      <c r="S111" s="348"/>
      <c r="U111" s="32" t="s">
        <v>188</v>
      </c>
      <c r="V111" s="105"/>
      <c r="W111" s="105"/>
      <c r="X111" s="509"/>
    </row>
    <row r="112" spans="1:24" s="316" customFormat="1" ht="27" customHeight="1">
      <c r="A112" s="423" t="s">
        <v>85</v>
      </c>
      <c r="B112" s="386" t="str">
        <f t="shared" si="21"/>
        <v>MDF-Man-0085/17</v>
      </c>
      <c r="C112" s="446" t="s">
        <v>406</v>
      </c>
      <c r="D112" s="441" t="s">
        <v>505</v>
      </c>
      <c r="E112" s="444" t="s">
        <v>433</v>
      </c>
      <c r="F112" s="429">
        <v>6</v>
      </c>
      <c r="G112" s="410">
        <f t="shared" si="22"/>
        <v>48.287469999999999</v>
      </c>
      <c r="H112" s="445">
        <f t="shared" si="23"/>
        <v>289.72482000000002</v>
      </c>
      <c r="I112" s="44"/>
      <c r="J112" s="44">
        <f t="shared" si="20"/>
        <v>48.287469999999999</v>
      </c>
      <c r="K112" s="9">
        <v>42.35</v>
      </c>
      <c r="L112" s="95"/>
      <c r="M112" s="24"/>
      <c r="N112" s="17"/>
      <c r="O112" s="24"/>
      <c r="P112" s="24"/>
      <c r="S112" s="348"/>
      <c r="U112" s="32" t="s">
        <v>189</v>
      </c>
      <c r="V112" s="105"/>
      <c r="W112" s="105"/>
      <c r="X112" s="509"/>
    </row>
    <row r="113" spans="1:24" s="316" customFormat="1" ht="27" customHeight="1">
      <c r="A113" s="423" t="s">
        <v>86</v>
      </c>
      <c r="B113" s="386" t="str">
        <f t="shared" si="21"/>
        <v>MDF-Man-0086/17</v>
      </c>
      <c r="C113" s="446" t="s">
        <v>406</v>
      </c>
      <c r="D113" s="441" t="s">
        <v>506</v>
      </c>
      <c r="E113" s="444" t="s">
        <v>433</v>
      </c>
      <c r="F113" s="429">
        <v>6</v>
      </c>
      <c r="G113" s="410">
        <f t="shared" si="22"/>
        <v>53.327154</v>
      </c>
      <c r="H113" s="445">
        <f t="shared" si="23"/>
        <v>319.96292399999999</v>
      </c>
      <c r="I113" s="44"/>
      <c r="J113" s="44">
        <f t="shared" si="20"/>
        <v>53.327154</v>
      </c>
      <c r="K113" s="9">
        <v>46.77</v>
      </c>
      <c r="L113" s="95"/>
      <c r="M113" s="24"/>
      <c r="N113" s="17"/>
      <c r="O113" s="24"/>
      <c r="P113" s="24"/>
      <c r="S113" s="348"/>
      <c r="U113" s="32" t="s">
        <v>190</v>
      </c>
      <c r="V113" s="105"/>
      <c r="W113" s="105"/>
      <c r="X113" s="509"/>
    </row>
    <row r="114" spans="1:24" s="316" customFormat="1" ht="27" customHeight="1">
      <c r="A114" s="423" t="s">
        <v>87</v>
      </c>
      <c r="B114" s="386" t="str">
        <f t="shared" si="21"/>
        <v>MDF-Man-0087/17</v>
      </c>
      <c r="C114" s="446" t="s">
        <v>406</v>
      </c>
      <c r="D114" s="441" t="s">
        <v>375</v>
      </c>
      <c r="E114" s="444" t="s">
        <v>404</v>
      </c>
      <c r="F114" s="429">
        <v>8</v>
      </c>
      <c r="G114" s="410">
        <f t="shared" si="22"/>
        <v>68.697050000000004</v>
      </c>
      <c r="H114" s="445">
        <f t="shared" si="23"/>
        <v>549.57640000000004</v>
      </c>
      <c r="I114" s="44"/>
      <c r="J114" s="44">
        <f t="shared" si="20"/>
        <v>68.697050000000004</v>
      </c>
      <c r="K114" s="9">
        <v>60.25</v>
      </c>
      <c r="L114" s="95"/>
      <c r="M114" s="24"/>
      <c r="N114" s="17"/>
      <c r="O114" s="24"/>
      <c r="P114" s="24"/>
      <c r="Q114" s="316" t="str">
        <f>U114&amp;"/17"</f>
        <v>MDF-Man-0087/17</v>
      </c>
      <c r="S114" s="348">
        <f t="shared" si="24"/>
        <v>0</v>
      </c>
      <c r="U114" s="32" t="s">
        <v>191</v>
      </c>
      <c r="V114" s="105"/>
      <c r="W114" s="105"/>
      <c r="X114" s="509"/>
    </row>
    <row r="115" spans="1:24" s="316" customFormat="1" ht="27" customHeight="1">
      <c r="A115" s="423" t="s">
        <v>88</v>
      </c>
      <c r="B115" s="386" t="str">
        <f t="shared" si="21"/>
        <v>MDF-Man-0088/17</v>
      </c>
      <c r="C115" s="446" t="s">
        <v>406</v>
      </c>
      <c r="D115" s="441" t="s">
        <v>435</v>
      </c>
      <c r="E115" s="444" t="s">
        <v>404</v>
      </c>
      <c r="F115" s="429">
        <v>8</v>
      </c>
      <c r="G115" s="410">
        <f t="shared" si="22"/>
        <v>61.114719999999998</v>
      </c>
      <c r="H115" s="445">
        <f t="shared" si="23"/>
        <v>488.91775999999999</v>
      </c>
      <c r="I115" s="44"/>
      <c r="J115" s="44">
        <f t="shared" si="20"/>
        <v>61.114719999999998</v>
      </c>
      <c r="K115" s="9">
        <v>53.6</v>
      </c>
      <c r="L115" s="95"/>
      <c r="M115" s="24"/>
      <c r="N115" s="17"/>
      <c r="O115" s="24"/>
      <c r="P115" s="24"/>
      <c r="S115" s="348">
        <f t="shared" si="24"/>
        <v>0</v>
      </c>
      <c r="U115" s="32" t="s">
        <v>192</v>
      </c>
      <c r="V115" s="105"/>
      <c r="W115" s="105"/>
      <c r="X115" s="509"/>
    </row>
    <row r="116" spans="1:24" s="316" customFormat="1" ht="27" customHeight="1">
      <c r="A116" s="423" t="s">
        <v>89</v>
      </c>
      <c r="B116" s="386" t="str">
        <f t="shared" si="21"/>
        <v>MDF-Man-0089/17</v>
      </c>
      <c r="C116" s="446" t="s">
        <v>406</v>
      </c>
      <c r="D116" s="441" t="s">
        <v>436</v>
      </c>
      <c r="E116" s="444" t="s">
        <v>404</v>
      </c>
      <c r="F116" s="429">
        <v>26</v>
      </c>
      <c r="G116" s="410">
        <f t="shared" si="22"/>
        <v>3.0329320000000002</v>
      </c>
      <c r="H116" s="445">
        <f t="shared" si="23"/>
        <v>78.856232000000006</v>
      </c>
      <c r="I116" s="44"/>
      <c r="J116" s="44">
        <f t="shared" si="20"/>
        <v>3.0329320000000002</v>
      </c>
      <c r="K116" s="9">
        <v>2.66</v>
      </c>
      <c r="L116" s="95"/>
      <c r="M116" s="24"/>
      <c r="N116" s="17"/>
      <c r="O116" s="24"/>
      <c r="P116" s="24"/>
      <c r="Q116" s="316" t="str">
        <f>U116&amp;"/17"</f>
        <v>MDF-Man-0089/17</v>
      </c>
      <c r="S116" s="348">
        <f t="shared" si="24"/>
        <v>0</v>
      </c>
      <c r="U116" s="32" t="s">
        <v>193</v>
      </c>
      <c r="V116" s="105"/>
      <c r="W116" s="105"/>
      <c r="X116" s="509"/>
    </row>
    <row r="117" spans="1:24" s="316" customFormat="1" ht="27" customHeight="1">
      <c r="A117" s="423" t="s">
        <v>90</v>
      </c>
      <c r="B117" s="386" t="str">
        <f t="shared" si="21"/>
        <v>MDF-Man-0090/17</v>
      </c>
      <c r="C117" s="446" t="s">
        <v>416</v>
      </c>
      <c r="D117" s="441" t="s">
        <v>462</v>
      </c>
      <c r="E117" s="444" t="s">
        <v>404</v>
      </c>
      <c r="F117" s="429">
        <v>10</v>
      </c>
      <c r="G117" s="410">
        <f t="shared" si="22"/>
        <v>1.5848779999999998</v>
      </c>
      <c r="H117" s="445">
        <f t="shared" si="23"/>
        <v>15.848779999999998</v>
      </c>
      <c r="I117" s="44"/>
      <c r="J117" s="44">
        <f t="shared" si="20"/>
        <v>1.5848779999999998</v>
      </c>
      <c r="K117" s="9">
        <v>1.39</v>
      </c>
      <c r="L117" s="95"/>
      <c r="M117" s="24"/>
      <c r="N117" s="17"/>
      <c r="O117" s="24"/>
      <c r="P117" s="24"/>
      <c r="S117" s="348">
        <f t="shared" si="24"/>
        <v>0</v>
      </c>
      <c r="U117" s="32" t="s">
        <v>194</v>
      </c>
      <c r="V117" s="105"/>
      <c r="W117" s="105"/>
      <c r="X117" s="509"/>
    </row>
    <row r="118" spans="1:24" s="316" customFormat="1" ht="27" customHeight="1">
      <c r="A118" s="423" t="s">
        <v>91</v>
      </c>
      <c r="B118" s="386" t="str">
        <f t="shared" si="21"/>
        <v>MDF-Man-0091/17</v>
      </c>
      <c r="C118" s="446" t="s">
        <v>406</v>
      </c>
      <c r="D118" s="441" t="s">
        <v>361</v>
      </c>
      <c r="E118" s="444" t="s">
        <v>433</v>
      </c>
      <c r="F118" s="429">
        <v>10</v>
      </c>
      <c r="G118" s="410">
        <f t="shared" si="22"/>
        <v>5.7466080000000002</v>
      </c>
      <c r="H118" s="445">
        <f t="shared" si="23"/>
        <v>57.466080000000005</v>
      </c>
      <c r="I118" s="44"/>
      <c r="J118" s="44">
        <f t="shared" si="20"/>
        <v>5.7466080000000002</v>
      </c>
      <c r="K118" s="9">
        <v>5.04</v>
      </c>
      <c r="L118" s="95"/>
      <c r="M118" s="24"/>
      <c r="N118" s="17"/>
      <c r="O118" s="24"/>
      <c r="P118" s="24"/>
      <c r="Q118" s="316" t="str">
        <f t="shared" ref="Q118:Q123" si="25">U118&amp;"/17"</f>
        <v>MDF-Man-0091/17</v>
      </c>
      <c r="S118" s="348">
        <f t="shared" si="24"/>
        <v>0</v>
      </c>
      <c r="U118" s="32" t="s">
        <v>195</v>
      </c>
      <c r="V118" s="105"/>
      <c r="W118" s="105"/>
      <c r="X118" s="509"/>
    </row>
    <row r="119" spans="1:24" s="316" customFormat="1" ht="27" customHeight="1">
      <c r="A119" s="423" t="s">
        <v>92</v>
      </c>
      <c r="B119" s="386" t="str">
        <f t="shared" si="21"/>
        <v>MDF-Man-0092/17</v>
      </c>
      <c r="C119" s="446" t="s">
        <v>406</v>
      </c>
      <c r="D119" s="441" t="s">
        <v>362</v>
      </c>
      <c r="E119" s="444" t="s">
        <v>433</v>
      </c>
      <c r="F119" s="429">
        <v>10</v>
      </c>
      <c r="G119" s="410">
        <f t="shared" si="22"/>
        <v>5.3247339999999994</v>
      </c>
      <c r="H119" s="445">
        <f t="shared" si="23"/>
        <v>53.247339999999994</v>
      </c>
      <c r="I119" s="44"/>
      <c r="J119" s="44">
        <f t="shared" si="20"/>
        <v>5.3247339999999994</v>
      </c>
      <c r="K119" s="9">
        <v>4.67</v>
      </c>
      <c r="L119" s="95"/>
      <c r="M119" s="24"/>
      <c r="N119" s="17"/>
      <c r="O119" s="24"/>
      <c r="P119" s="24"/>
      <c r="Q119" s="316" t="str">
        <f t="shared" si="25"/>
        <v>MDF-Man-0092/17</v>
      </c>
      <c r="S119" s="348">
        <f t="shared" si="24"/>
        <v>0</v>
      </c>
      <c r="U119" s="32" t="s">
        <v>196</v>
      </c>
      <c r="V119" s="105"/>
      <c r="W119" s="105"/>
      <c r="X119" s="509"/>
    </row>
    <row r="120" spans="1:24" s="316" customFormat="1" ht="27" customHeight="1">
      <c r="A120" s="423" t="s">
        <v>93</v>
      </c>
      <c r="B120" s="386" t="str">
        <f t="shared" si="21"/>
        <v>MDF-Man-0093/17</v>
      </c>
      <c r="C120" s="446" t="s">
        <v>406</v>
      </c>
      <c r="D120" s="441" t="s">
        <v>363</v>
      </c>
      <c r="E120" s="444" t="s">
        <v>433</v>
      </c>
      <c r="F120" s="429">
        <v>10</v>
      </c>
      <c r="G120" s="410">
        <f t="shared" si="22"/>
        <v>5.0054780000000001</v>
      </c>
      <c r="H120" s="445">
        <f t="shared" si="23"/>
        <v>50.054780000000001</v>
      </c>
      <c r="I120" s="44"/>
      <c r="J120" s="44">
        <f t="shared" si="20"/>
        <v>5.0054780000000001</v>
      </c>
      <c r="K120" s="9">
        <v>4.3899999999999997</v>
      </c>
      <c r="L120" s="95"/>
      <c r="M120" s="24"/>
      <c r="N120" s="17"/>
      <c r="O120" s="24"/>
      <c r="P120" s="24"/>
      <c r="Q120" s="316" t="str">
        <f t="shared" si="25"/>
        <v>MDF-Man-0093/17</v>
      </c>
      <c r="S120" s="348">
        <f t="shared" si="24"/>
        <v>0</v>
      </c>
      <c r="U120" s="32" t="s">
        <v>197</v>
      </c>
      <c r="V120" s="105"/>
      <c r="W120" s="105"/>
      <c r="X120" s="509"/>
    </row>
    <row r="121" spans="1:24" s="316" customFormat="1" ht="27" customHeight="1">
      <c r="A121" s="423" t="s">
        <v>94</v>
      </c>
      <c r="B121" s="386" t="str">
        <f t="shared" si="21"/>
        <v>MDF-Man-0094/17</v>
      </c>
      <c r="C121" s="446" t="s">
        <v>406</v>
      </c>
      <c r="D121" s="441" t="s">
        <v>364</v>
      </c>
      <c r="E121" s="444" t="s">
        <v>433</v>
      </c>
      <c r="F121" s="429">
        <v>10</v>
      </c>
      <c r="G121" s="410">
        <f t="shared" si="22"/>
        <v>4.1047200000000004</v>
      </c>
      <c r="H121" s="445">
        <f t="shared" si="23"/>
        <v>41.047200000000004</v>
      </c>
      <c r="I121" s="44"/>
      <c r="J121" s="44">
        <f t="shared" si="20"/>
        <v>4.1047200000000004</v>
      </c>
      <c r="K121" s="9">
        <v>3.6</v>
      </c>
      <c r="L121" s="95"/>
      <c r="M121" s="24"/>
      <c r="N121" s="17"/>
      <c r="O121" s="24"/>
      <c r="P121" s="24"/>
      <c r="Q121" s="316" t="str">
        <f t="shared" si="25"/>
        <v>MDF-Man-0094/17</v>
      </c>
      <c r="S121" s="348">
        <f t="shared" si="24"/>
        <v>0</v>
      </c>
      <c r="U121" s="32" t="s">
        <v>198</v>
      </c>
      <c r="V121" s="105"/>
      <c r="W121" s="105"/>
      <c r="X121" s="509"/>
    </row>
    <row r="122" spans="1:24" s="316" customFormat="1" ht="27" customHeight="1">
      <c r="A122" s="423" t="s">
        <v>95</v>
      </c>
      <c r="B122" s="386" t="str">
        <f t="shared" si="21"/>
        <v>MDF-Man-0095/17</v>
      </c>
      <c r="C122" s="446" t="s">
        <v>406</v>
      </c>
      <c r="D122" s="441" t="s">
        <v>398</v>
      </c>
      <c r="E122" s="444" t="s">
        <v>404</v>
      </c>
      <c r="F122" s="429">
        <v>6</v>
      </c>
      <c r="G122" s="410">
        <f t="shared" si="22"/>
        <v>167.60939999999999</v>
      </c>
      <c r="H122" s="445">
        <f t="shared" si="23"/>
        <v>1005.6564</v>
      </c>
      <c r="I122" s="44"/>
      <c r="J122" s="44">
        <f t="shared" si="20"/>
        <v>167.60939999999999</v>
      </c>
      <c r="K122" s="9">
        <v>147</v>
      </c>
      <c r="L122" s="95"/>
      <c r="M122" s="24"/>
      <c r="N122" s="17"/>
      <c r="O122" s="24"/>
      <c r="P122" s="24"/>
      <c r="Q122" s="316" t="str">
        <f t="shared" si="25"/>
        <v>MDF-Man-0095/17</v>
      </c>
      <c r="S122" s="348">
        <f t="shared" si="24"/>
        <v>0</v>
      </c>
      <c r="U122" s="32" t="s">
        <v>199</v>
      </c>
      <c r="V122" s="105"/>
      <c r="W122" s="105"/>
      <c r="X122" s="509"/>
    </row>
    <row r="123" spans="1:24" s="316" customFormat="1" ht="27" customHeight="1">
      <c r="A123" s="423" t="s">
        <v>96</v>
      </c>
      <c r="B123" s="386" t="str">
        <f t="shared" si="21"/>
        <v>MDF-Man-0096/17</v>
      </c>
      <c r="C123" s="446" t="s">
        <v>406</v>
      </c>
      <c r="D123" s="441" t="s">
        <v>399</v>
      </c>
      <c r="E123" s="444" t="s">
        <v>433</v>
      </c>
      <c r="F123" s="429">
        <v>10</v>
      </c>
      <c r="G123" s="410">
        <f t="shared" si="22"/>
        <v>151.64660000000001</v>
      </c>
      <c r="H123" s="445">
        <f t="shared" si="23"/>
        <v>1516.4660000000001</v>
      </c>
      <c r="I123" s="44"/>
      <c r="J123" s="44">
        <f t="shared" si="20"/>
        <v>151.64660000000001</v>
      </c>
      <c r="K123" s="9">
        <v>133</v>
      </c>
      <c r="L123" s="95"/>
      <c r="M123" s="24"/>
      <c r="N123" s="17"/>
      <c r="O123" s="24"/>
      <c r="P123" s="24"/>
      <c r="Q123" s="316" t="str">
        <f t="shared" si="25"/>
        <v>MDF-Man-0096/17</v>
      </c>
      <c r="S123" s="348">
        <f t="shared" si="24"/>
        <v>0</v>
      </c>
      <c r="U123" s="32" t="s">
        <v>200</v>
      </c>
      <c r="V123" s="105"/>
      <c r="W123" s="105"/>
      <c r="X123" s="509"/>
    </row>
    <row r="124" spans="1:24" s="316" customFormat="1" ht="39" customHeight="1">
      <c r="A124" s="423" t="s">
        <v>97</v>
      </c>
      <c r="B124" s="386" t="str">
        <f t="shared" ref="B124:B152" si="26">U124&amp;"/17"</f>
        <v>MDF-Man-0097/17</v>
      </c>
      <c r="C124" s="443" t="s">
        <v>423</v>
      </c>
      <c r="D124" s="497" t="s">
        <v>422</v>
      </c>
      <c r="E124" s="444" t="s">
        <v>404</v>
      </c>
      <c r="F124" s="429">
        <v>5</v>
      </c>
      <c r="G124" s="410">
        <f t="shared" ref="G124:G143" si="27">J124</f>
        <v>0.67271799999999993</v>
      </c>
      <c r="H124" s="445">
        <f t="shared" ref="H124:H143" si="28">G124*F124</f>
        <v>3.3635899999999994</v>
      </c>
      <c r="I124" s="44"/>
      <c r="J124" s="44">
        <f t="shared" si="20"/>
        <v>0.67271799999999993</v>
      </c>
      <c r="K124" s="9">
        <v>0.59</v>
      </c>
      <c r="L124" s="95"/>
      <c r="M124" s="24"/>
      <c r="N124" s="17"/>
      <c r="O124" s="24"/>
      <c r="P124" s="24"/>
      <c r="S124" s="348">
        <f t="shared" si="24"/>
        <v>0</v>
      </c>
      <c r="U124" s="32" t="s">
        <v>201</v>
      </c>
      <c r="V124" s="105"/>
      <c r="W124" s="105"/>
      <c r="X124" s="509"/>
    </row>
    <row r="125" spans="1:24" s="316" customFormat="1" ht="27" customHeight="1">
      <c r="A125" s="423" t="s">
        <v>98</v>
      </c>
      <c r="B125" s="386" t="str">
        <f t="shared" si="26"/>
        <v>MDF-Man-0098/17</v>
      </c>
      <c r="C125" s="443" t="s">
        <v>416</v>
      </c>
      <c r="D125" s="441" t="s">
        <v>457</v>
      </c>
      <c r="E125" s="444" t="s">
        <v>404</v>
      </c>
      <c r="F125" s="429">
        <v>5</v>
      </c>
      <c r="G125" s="410">
        <f t="shared" si="27"/>
        <v>2.7022740000000001</v>
      </c>
      <c r="H125" s="445">
        <f t="shared" si="28"/>
        <v>13.511369999999999</v>
      </c>
      <c r="I125" s="44"/>
      <c r="J125" s="44">
        <f t="shared" si="20"/>
        <v>2.7022740000000001</v>
      </c>
      <c r="K125" s="9">
        <v>2.37</v>
      </c>
      <c r="L125" s="95"/>
      <c r="M125" s="24"/>
      <c r="N125" s="17"/>
      <c r="O125" s="24"/>
      <c r="P125" s="24"/>
      <c r="S125" s="348">
        <f t="shared" si="24"/>
        <v>0</v>
      </c>
      <c r="U125" s="32" t="s">
        <v>202</v>
      </c>
      <c r="V125" s="105"/>
      <c r="W125" s="105"/>
      <c r="X125" s="509"/>
    </row>
    <row r="126" spans="1:24" s="316" customFormat="1" ht="27" customHeight="1">
      <c r="A126" s="423" t="s">
        <v>99</v>
      </c>
      <c r="B126" s="386" t="str">
        <f t="shared" si="26"/>
        <v>MDF-Man-0099/17</v>
      </c>
      <c r="C126" s="443" t="s">
        <v>416</v>
      </c>
      <c r="D126" s="441" t="s">
        <v>456</v>
      </c>
      <c r="E126" s="444" t="s">
        <v>404</v>
      </c>
      <c r="F126" s="429">
        <v>5</v>
      </c>
      <c r="G126" s="410">
        <f t="shared" si="27"/>
        <v>1.2542200000000001</v>
      </c>
      <c r="H126" s="445">
        <f t="shared" si="28"/>
        <v>6.2711000000000006</v>
      </c>
      <c r="I126" s="44"/>
      <c r="J126" s="44">
        <f t="shared" si="20"/>
        <v>1.2542200000000001</v>
      </c>
      <c r="K126" s="9">
        <v>1.1000000000000001</v>
      </c>
      <c r="L126" s="95"/>
      <c r="M126" s="24"/>
      <c r="N126" s="17"/>
      <c r="O126" s="24"/>
      <c r="P126" s="24"/>
      <c r="S126" s="348">
        <f t="shared" si="24"/>
        <v>0</v>
      </c>
      <c r="U126" s="32" t="s">
        <v>203</v>
      </c>
      <c r="V126" s="105"/>
      <c r="W126" s="105"/>
      <c r="X126" s="509"/>
    </row>
    <row r="127" spans="1:24" s="316" customFormat="1" ht="27" customHeight="1">
      <c r="A127" s="423" t="s">
        <v>100</v>
      </c>
      <c r="B127" s="386" t="str">
        <f t="shared" si="26"/>
        <v>MDF-Man-0100/17</v>
      </c>
      <c r="C127" s="443" t="s">
        <v>416</v>
      </c>
      <c r="D127" s="441" t="s">
        <v>458</v>
      </c>
      <c r="E127" s="444" t="s">
        <v>404</v>
      </c>
      <c r="F127" s="429">
        <v>5</v>
      </c>
      <c r="G127" s="410">
        <f t="shared" si="27"/>
        <v>3.7968660000000001</v>
      </c>
      <c r="H127" s="445">
        <f t="shared" si="28"/>
        <v>18.98433</v>
      </c>
      <c r="I127" s="44"/>
      <c r="J127" s="44">
        <f t="shared" ref="J127:J152" si="29">(K127*$H$156)+K127</f>
        <v>3.7968660000000001</v>
      </c>
      <c r="K127" s="9">
        <v>3.33</v>
      </c>
      <c r="L127" s="95"/>
      <c r="M127" s="24"/>
      <c r="N127" s="17"/>
      <c r="O127" s="24"/>
      <c r="P127" s="24"/>
      <c r="S127" s="348">
        <f t="shared" si="24"/>
        <v>0</v>
      </c>
      <c r="U127" s="32" t="s">
        <v>204</v>
      </c>
      <c r="V127" s="105"/>
      <c r="W127" s="105"/>
      <c r="X127" s="509"/>
    </row>
    <row r="128" spans="1:24" s="316" customFormat="1" ht="27" customHeight="1">
      <c r="A128" s="423" t="s">
        <v>101</v>
      </c>
      <c r="B128" s="386" t="str">
        <f t="shared" si="26"/>
        <v>MDF-Man-0101/17</v>
      </c>
      <c r="C128" s="446" t="s">
        <v>406</v>
      </c>
      <c r="D128" s="441" t="s">
        <v>365</v>
      </c>
      <c r="E128" s="444" t="s">
        <v>433</v>
      </c>
      <c r="F128" s="429">
        <v>1</v>
      </c>
      <c r="G128" s="410">
        <f t="shared" si="27"/>
        <v>239.27096999999998</v>
      </c>
      <c r="H128" s="445">
        <f t="shared" si="28"/>
        <v>239.27096999999998</v>
      </c>
      <c r="I128" s="44" t="s">
        <v>441</v>
      </c>
      <c r="J128" s="44">
        <f t="shared" si="29"/>
        <v>239.27096999999998</v>
      </c>
      <c r="K128" s="9">
        <v>209.85</v>
      </c>
      <c r="L128" s="95"/>
      <c r="M128" s="24"/>
      <c r="N128" s="17"/>
      <c r="O128" s="24"/>
      <c r="P128" s="24"/>
      <c r="Q128" s="316" t="str">
        <f>U128&amp;"/17"</f>
        <v>MDF-Man-0101/17</v>
      </c>
      <c r="S128" s="348">
        <f t="shared" si="24"/>
        <v>0</v>
      </c>
      <c r="U128" s="32" t="s">
        <v>205</v>
      </c>
      <c r="V128" s="105"/>
      <c r="W128" s="105"/>
      <c r="X128" s="509"/>
    </row>
    <row r="129" spans="1:24" s="316" customFormat="1" ht="27" customHeight="1">
      <c r="A129" s="423" t="s">
        <v>102</v>
      </c>
      <c r="B129" s="386" t="str">
        <f t="shared" si="26"/>
        <v>MDF-Man-0102/17</v>
      </c>
      <c r="C129" s="446" t="s">
        <v>416</v>
      </c>
      <c r="D129" s="441" t="s">
        <v>459</v>
      </c>
      <c r="E129" s="444" t="s">
        <v>404</v>
      </c>
      <c r="F129" s="429">
        <v>5</v>
      </c>
      <c r="G129" s="410">
        <f t="shared" si="27"/>
        <v>1.1972100000000001</v>
      </c>
      <c r="H129" s="445">
        <f t="shared" si="28"/>
        <v>5.9860500000000005</v>
      </c>
      <c r="I129" s="44"/>
      <c r="J129" s="44">
        <f t="shared" si="29"/>
        <v>1.1972100000000001</v>
      </c>
      <c r="K129" s="9">
        <v>1.05</v>
      </c>
      <c r="L129" s="95"/>
      <c r="M129" s="24"/>
      <c r="N129" s="17"/>
      <c r="O129" s="24"/>
      <c r="P129" s="24"/>
      <c r="S129" s="348">
        <f t="shared" si="24"/>
        <v>0</v>
      </c>
      <c r="U129" s="32" t="s">
        <v>479</v>
      </c>
      <c r="V129" s="105"/>
      <c r="W129" s="105"/>
      <c r="X129" s="509"/>
    </row>
    <row r="130" spans="1:24" s="316" customFormat="1" ht="27" customHeight="1">
      <c r="A130" s="423" t="s">
        <v>103</v>
      </c>
      <c r="B130" s="386" t="str">
        <f t="shared" si="26"/>
        <v>MDF-Man-0103/17</v>
      </c>
      <c r="C130" s="446" t="s">
        <v>416</v>
      </c>
      <c r="D130" s="441" t="s">
        <v>460</v>
      </c>
      <c r="E130" s="444" t="s">
        <v>404</v>
      </c>
      <c r="F130" s="429">
        <v>5</v>
      </c>
      <c r="G130" s="410">
        <f t="shared" si="27"/>
        <v>0.85514999999999997</v>
      </c>
      <c r="H130" s="445">
        <f t="shared" si="28"/>
        <v>4.2757499999999995</v>
      </c>
      <c r="I130" s="44"/>
      <c r="J130" s="44">
        <f t="shared" si="29"/>
        <v>0.85514999999999997</v>
      </c>
      <c r="K130" s="9">
        <v>0.75</v>
      </c>
      <c r="L130" s="95"/>
      <c r="M130" s="24"/>
      <c r="N130" s="17"/>
      <c r="O130" s="24"/>
      <c r="P130" s="24"/>
      <c r="S130" s="348">
        <f t="shared" si="24"/>
        <v>0</v>
      </c>
      <c r="U130" s="32" t="s">
        <v>206</v>
      </c>
      <c r="V130" s="105"/>
      <c r="W130" s="105"/>
      <c r="X130" s="509"/>
    </row>
    <row r="131" spans="1:24" s="316" customFormat="1" ht="27" customHeight="1">
      <c r="A131" s="423" t="s">
        <v>104</v>
      </c>
      <c r="B131" s="386" t="str">
        <f t="shared" si="26"/>
        <v>MDF-Man-0104/17</v>
      </c>
      <c r="C131" s="446" t="s">
        <v>416</v>
      </c>
      <c r="D131" s="441" t="s">
        <v>461</v>
      </c>
      <c r="E131" s="444" t="s">
        <v>404</v>
      </c>
      <c r="F131" s="429">
        <v>5</v>
      </c>
      <c r="G131" s="410">
        <f t="shared" si="27"/>
        <v>1.983948</v>
      </c>
      <c r="H131" s="445">
        <f t="shared" si="28"/>
        <v>9.9197400000000009</v>
      </c>
      <c r="I131" s="44"/>
      <c r="J131" s="44">
        <f t="shared" si="29"/>
        <v>1.983948</v>
      </c>
      <c r="K131" s="9">
        <v>1.74</v>
      </c>
      <c r="L131" s="95"/>
      <c r="M131" s="24"/>
      <c r="N131" s="17"/>
      <c r="O131" s="24"/>
      <c r="P131" s="24"/>
      <c r="S131" s="348">
        <f t="shared" si="24"/>
        <v>0</v>
      </c>
      <c r="U131" s="32" t="s">
        <v>207</v>
      </c>
      <c r="V131" s="105"/>
      <c r="W131" s="105"/>
      <c r="X131" s="509"/>
    </row>
    <row r="132" spans="1:24" s="316" customFormat="1" ht="27" customHeight="1">
      <c r="A132" s="423" t="s">
        <v>105</v>
      </c>
      <c r="B132" s="386" t="str">
        <f t="shared" si="26"/>
        <v>MDF-Man-0105/17</v>
      </c>
      <c r="C132" s="446" t="s">
        <v>406</v>
      </c>
      <c r="D132" s="441" t="s">
        <v>424</v>
      </c>
      <c r="E132" s="444" t="s">
        <v>404</v>
      </c>
      <c r="F132" s="429">
        <v>1</v>
      </c>
      <c r="G132" s="410">
        <f t="shared" si="27"/>
        <v>302.49506000000002</v>
      </c>
      <c r="H132" s="445">
        <f t="shared" si="28"/>
        <v>302.49506000000002</v>
      </c>
      <c r="I132" s="44" t="s">
        <v>441</v>
      </c>
      <c r="J132" s="44">
        <f t="shared" si="29"/>
        <v>302.49506000000002</v>
      </c>
      <c r="K132" s="9">
        <v>265.3</v>
      </c>
      <c r="L132" s="95"/>
      <c r="M132" s="24"/>
      <c r="N132" s="17"/>
      <c r="O132" s="24"/>
      <c r="P132" s="24"/>
      <c r="Q132" s="316" t="str">
        <f t="shared" ref="Q132:Q155" si="30">U132&amp;"/17"</f>
        <v>MDF-Man-0105/17</v>
      </c>
      <c r="S132" s="348">
        <f t="shared" si="24"/>
        <v>0</v>
      </c>
      <c r="U132" s="32" t="s">
        <v>208</v>
      </c>
      <c r="V132" s="105"/>
      <c r="W132" s="105"/>
      <c r="X132" s="509"/>
    </row>
    <row r="133" spans="1:24" s="316" customFormat="1" ht="27" customHeight="1">
      <c r="A133" s="423" t="s">
        <v>481</v>
      </c>
      <c r="B133" s="386" t="str">
        <f t="shared" si="26"/>
        <v>MDF-Man-0106/17</v>
      </c>
      <c r="C133" s="446" t="s">
        <v>406</v>
      </c>
      <c r="D133" s="441" t="s">
        <v>373</v>
      </c>
      <c r="E133" s="444" t="s">
        <v>404</v>
      </c>
      <c r="F133" s="429">
        <v>5</v>
      </c>
      <c r="G133" s="410">
        <f t="shared" si="27"/>
        <v>39.906999999999996</v>
      </c>
      <c r="H133" s="445">
        <f t="shared" si="28"/>
        <v>199.53499999999997</v>
      </c>
      <c r="I133" s="44"/>
      <c r="J133" s="44">
        <f t="shared" si="29"/>
        <v>39.906999999999996</v>
      </c>
      <c r="K133" s="9">
        <v>35</v>
      </c>
      <c r="L133" s="95"/>
      <c r="M133" s="24"/>
      <c r="N133" s="17"/>
      <c r="O133" s="24"/>
      <c r="P133" s="24"/>
      <c r="Q133" s="316" t="str">
        <f t="shared" si="30"/>
        <v>MDF-Man-0106/17</v>
      </c>
      <c r="S133" s="348">
        <f t="shared" si="24"/>
        <v>0</v>
      </c>
      <c r="U133" s="32" t="s">
        <v>209</v>
      </c>
      <c r="V133" s="105"/>
      <c r="W133" s="105"/>
      <c r="X133" s="509"/>
    </row>
    <row r="134" spans="1:24" s="316" customFormat="1" ht="27" customHeight="1">
      <c r="A134" s="423" t="s">
        <v>482</v>
      </c>
      <c r="B134" s="386" t="str">
        <f t="shared" si="26"/>
        <v>MDF-Man-0107/17</v>
      </c>
      <c r="C134" s="446" t="s">
        <v>406</v>
      </c>
      <c r="D134" s="441" t="s">
        <v>405</v>
      </c>
      <c r="E134" s="444" t="s">
        <v>2</v>
      </c>
      <c r="F134" s="429">
        <v>30</v>
      </c>
      <c r="G134" s="410">
        <f t="shared" si="27"/>
        <v>17.866934000000001</v>
      </c>
      <c r="H134" s="445">
        <f t="shared" si="28"/>
        <v>536.00801999999999</v>
      </c>
      <c r="I134" s="44"/>
      <c r="J134" s="44">
        <f t="shared" si="29"/>
        <v>17.866934000000001</v>
      </c>
      <c r="K134" s="9">
        <v>15.67</v>
      </c>
      <c r="L134" s="95"/>
      <c r="M134" s="24"/>
      <c r="N134" s="17"/>
      <c r="O134" s="24"/>
      <c r="P134" s="24"/>
      <c r="Q134" s="316" t="str">
        <f t="shared" si="30"/>
        <v>MDF-Man-0107/17</v>
      </c>
      <c r="S134" s="348">
        <f t="shared" si="24"/>
        <v>0</v>
      </c>
      <c r="U134" s="32" t="s">
        <v>210</v>
      </c>
      <c r="V134" s="105"/>
      <c r="W134" s="105"/>
      <c r="X134" s="509"/>
    </row>
    <row r="135" spans="1:24" s="316" customFormat="1" ht="27" customHeight="1">
      <c r="A135" s="423" t="s">
        <v>483</v>
      </c>
      <c r="B135" s="386" t="str">
        <f t="shared" si="26"/>
        <v>MDF-Man-0108/17</v>
      </c>
      <c r="C135" s="446" t="s">
        <v>406</v>
      </c>
      <c r="D135" s="441" t="s">
        <v>382</v>
      </c>
      <c r="E135" s="444" t="s">
        <v>433</v>
      </c>
      <c r="F135" s="429">
        <v>5</v>
      </c>
      <c r="G135" s="410">
        <f t="shared" si="27"/>
        <v>250.84399999999999</v>
      </c>
      <c r="H135" s="445">
        <f t="shared" si="28"/>
        <v>1254.22</v>
      </c>
      <c r="I135" s="44"/>
      <c r="J135" s="44">
        <f t="shared" si="29"/>
        <v>250.84399999999999</v>
      </c>
      <c r="K135" s="9">
        <v>220</v>
      </c>
      <c r="L135" s="95"/>
      <c r="M135" s="24"/>
      <c r="N135" s="17"/>
      <c r="O135" s="24"/>
      <c r="P135" s="24"/>
      <c r="Q135" s="316" t="str">
        <f t="shared" si="30"/>
        <v>MDF-Man-0108/17</v>
      </c>
      <c r="S135" s="357">
        <f t="shared" si="24"/>
        <v>0</v>
      </c>
      <c r="U135" s="32" t="s">
        <v>211</v>
      </c>
      <c r="V135" s="105"/>
      <c r="W135" s="105"/>
      <c r="X135" s="509"/>
    </row>
    <row r="136" spans="1:24" s="316" customFormat="1" ht="27" customHeight="1">
      <c r="A136" s="423" t="s">
        <v>484</v>
      </c>
      <c r="B136" s="386" t="str">
        <f t="shared" si="26"/>
        <v>MDF-Man-0109/17</v>
      </c>
      <c r="C136" s="446" t="s">
        <v>406</v>
      </c>
      <c r="D136" s="441" t="s">
        <v>383</v>
      </c>
      <c r="E136" s="444" t="s">
        <v>433</v>
      </c>
      <c r="F136" s="429">
        <v>5</v>
      </c>
      <c r="G136" s="410">
        <f t="shared" si="27"/>
        <v>342.06</v>
      </c>
      <c r="H136" s="445">
        <f t="shared" si="28"/>
        <v>1710.3</v>
      </c>
      <c r="I136" s="44"/>
      <c r="J136" s="44">
        <f t="shared" si="29"/>
        <v>342.06</v>
      </c>
      <c r="K136" s="9">
        <f>(250+350)/2</f>
        <v>300</v>
      </c>
      <c r="L136" s="95"/>
      <c r="M136" s="24"/>
      <c r="N136" s="17"/>
      <c r="O136" s="24"/>
      <c r="P136" s="24"/>
      <c r="Q136" s="316" t="str">
        <f t="shared" si="30"/>
        <v>MDF-Man-0109/17</v>
      </c>
      <c r="S136" s="357">
        <f t="shared" si="24"/>
        <v>0</v>
      </c>
      <c r="U136" s="32" t="s">
        <v>212</v>
      </c>
      <c r="V136" s="105"/>
      <c r="W136" s="105"/>
      <c r="X136" s="509"/>
    </row>
    <row r="137" spans="1:24" s="316" customFormat="1" ht="27" customHeight="1">
      <c r="A137" s="423" t="s">
        <v>485</v>
      </c>
      <c r="B137" s="386" t="str">
        <f t="shared" si="26"/>
        <v>MDF-Man-0110/17</v>
      </c>
      <c r="C137" s="446" t="s">
        <v>406</v>
      </c>
      <c r="D137" s="441" t="s">
        <v>374</v>
      </c>
      <c r="E137" s="444" t="s">
        <v>404</v>
      </c>
      <c r="F137" s="429">
        <v>8</v>
      </c>
      <c r="G137" s="410">
        <f t="shared" si="27"/>
        <v>118.19313199999999</v>
      </c>
      <c r="H137" s="445">
        <f t="shared" si="28"/>
        <v>945.54505599999993</v>
      </c>
      <c r="I137" s="44"/>
      <c r="J137" s="44">
        <f t="shared" si="29"/>
        <v>118.19313199999999</v>
      </c>
      <c r="K137" s="9">
        <v>103.66</v>
      </c>
      <c r="L137" s="95"/>
      <c r="M137" s="24"/>
      <c r="N137" s="17"/>
      <c r="O137" s="24"/>
      <c r="P137" s="24"/>
      <c r="Q137" s="316" t="str">
        <f t="shared" si="30"/>
        <v>MDF-Man-0110/17</v>
      </c>
      <c r="S137" s="348">
        <f t="shared" si="24"/>
        <v>0</v>
      </c>
      <c r="U137" s="32" t="s">
        <v>213</v>
      </c>
      <c r="V137" s="105"/>
      <c r="W137" s="105"/>
      <c r="X137" s="509"/>
    </row>
    <row r="138" spans="1:24" s="316" customFormat="1" ht="27" customHeight="1">
      <c r="A138" s="423" t="s">
        <v>486</v>
      </c>
      <c r="B138" s="386" t="str">
        <f t="shared" si="26"/>
        <v>MDF-Man-0111/17</v>
      </c>
      <c r="C138" s="446" t="s">
        <v>406</v>
      </c>
      <c r="D138" s="441" t="s">
        <v>439</v>
      </c>
      <c r="E138" s="444" t="s">
        <v>433</v>
      </c>
      <c r="F138" s="429">
        <v>4</v>
      </c>
      <c r="G138" s="410">
        <f t="shared" si="27"/>
        <v>45.607999999999997</v>
      </c>
      <c r="H138" s="445">
        <f t="shared" si="28"/>
        <v>182.43199999999999</v>
      </c>
      <c r="I138" s="44"/>
      <c r="J138" s="44">
        <f t="shared" si="29"/>
        <v>45.607999999999997</v>
      </c>
      <c r="K138" s="9">
        <v>40</v>
      </c>
      <c r="L138" s="95"/>
      <c r="M138" s="24"/>
      <c r="N138" s="17"/>
      <c r="O138" s="24"/>
      <c r="P138" s="24"/>
      <c r="Q138" s="316" t="str">
        <f t="shared" si="30"/>
        <v>MDF-Man-0111/17</v>
      </c>
      <c r="S138" s="348">
        <f t="shared" si="24"/>
        <v>0</v>
      </c>
      <c r="U138" s="32" t="s">
        <v>214</v>
      </c>
      <c r="V138" s="105"/>
      <c r="W138" s="105"/>
      <c r="X138" s="509"/>
    </row>
    <row r="139" spans="1:24" s="316" customFormat="1" ht="27" customHeight="1">
      <c r="A139" s="423" t="s">
        <v>487</v>
      </c>
      <c r="B139" s="386" t="str">
        <f t="shared" si="26"/>
        <v>MDF-Man-0112/17</v>
      </c>
      <c r="C139" s="446" t="s">
        <v>406</v>
      </c>
      <c r="D139" s="441" t="s">
        <v>400</v>
      </c>
      <c r="E139" s="444" t="s">
        <v>433</v>
      </c>
      <c r="F139" s="429">
        <v>5</v>
      </c>
      <c r="G139" s="410">
        <f t="shared" si="27"/>
        <v>114.02</v>
      </c>
      <c r="H139" s="445">
        <f t="shared" si="28"/>
        <v>570.1</v>
      </c>
      <c r="I139" s="44"/>
      <c r="J139" s="44">
        <f t="shared" si="29"/>
        <v>114.02</v>
      </c>
      <c r="K139" s="9">
        <v>100</v>
      </c>
      <c r="L139" s="95"/>
      <c r="M139" s="24"/>
      <c r="N139" s="17"/>
      <c r="O139" s="24"/>
      <c r="P139" s="24"/>
      <c r="Q139" s="316" t="str">
        <f t="shared" si="30"/>
        <v>MDF-Man-0112/17</v>
      </c>
      <c r="S139" s="357">
        <f t="shared" si="24"/>
        <v>0</v>
      </c>
      <c r="U139" s="32" t="s">
        <v>215</v>
      </c>
      <c r="V139" s="105"/>
      <c r="W139" s="105"/>
      <c r="X139" s="509"/>
    </row>
    <row r="140" spans="1:24" s="316" customFormat="1" ht="27" customHeight="1">
      <c r="A140" s="423" t="s">
        <v>488</v>
      </c>
      <c r="B140" s="386" t="str">
        <f t="shared" si="26"/>
        <v>MDF-Man-0113/17</v>
      </c>
      <c r="C140" s="446" t="s">
        <v>406</v>
      </c>
      <c r="D140" s="441" t="s">
        <v>381</v>
      </c>
      <c r="E140" s="444" t="s">
        <v>433</v>
      </c>
      <c r="F140" s="429">
        <v>10</v>
      </c>
      <c r="G140" s="410">
        <f t="shared" si="27"/>
        <v>114.02</v>
      </c>
      <c r="H140" s="445">
        <f t="shared" si="28"/>
        <v>1140.2</v>
      </c>
      <c r="I140" s="44"/>
      <c r="J140" s="44">
        <f t="shared" si="29"/>
        <v>114.02</v>
      </c>
      <c r="K140" s="9">
        <v>100</v>
      </c>
      <c r="L140" s="95"/>
      <c r="M140" s="24"/>
      <c r="N140" s="17"/>
      <c r="O140" s="24"/>
      <c r="P140" s="24"/>
      <c r="Q140" s="316" t="str">
        <f t="shared" si="30"/>
        <v>MDF-Man-0113/17</v>
      </c>
      <c r="S140" s="357">
        <f t="shared" si="24"/>
        <v>0</v>
      </c>
      <c r="U140" s="32" t="s">
        <v>216</v>
      </c>
      <c r="V140" s="105"/>
      <c r="W140" s="105"/>
      <c r="X140" s="509"/>
    </row>
    <row r="141" spans="1:24" s="316" customFormat="1" ht="27" customHeight="1">
      <c r="A141" s="423" t="s">
        <v>489</v>
      </c>
      <c r="B141" s="386" t="str">
        <f t="shared" si="26"/>
        <v>MDF-Man-0114/17</v>
      </c>
      <c r="C141" s="456" t="s">
        <v>416</v>
      </c>
      <c r="D141" s="440" t="s">
        <v>385</v>
      </c>
      <c r="E141" s="457" t="s">
        <v>2</v>
      </c>
      <c r="F141" s="458">
        <v>15</v>
      </c>
      <c r="G141" s="389">
        <f t="shared" si="27"/>
        <v>42.255812000000006</v>
      </c>
      <c r="H141" s="459">
        <f t="shared" si="28"/>
        <v>633.8371800000001</v>
      </c>
      <c r="I141" s="44"/>
      <c r="J141" s="44">
        <f t="shared" si="29"/>
        <v>42.255812000000006</v>
      </c>
      <c r="K141" s="9">
        <v>37.06</v>
      </c>
      <c r="L141" s="95"/>
      <c r="M141" s="24"/>
      <c r="N141" s="17"/>
      <c r="O141" s="24"/>
      <c r="P141" s="24"/>
      <c r="Q141" s="316" t="str">
        <f t="shared" si="30"/>
        <v>MDF-Man-0114/17</v>
      </c>
      <c r="S141" s="347">
        <f t="shared" si="24"/>
        <v>0</v>
      </c>
      <c r="U141" s="32" t="s">
        <v>217</v>
      </c>
      <c r="V141" s="105"/>
      <c r="W141" s="105"/>
      <c r="X141" s="509"/>
    </row>
    <row r="142" spans="1:24" s="316" customFormat="1" ht="27" customHeight="1">
      <c r="A142" s="423" t="s">
        <v>490</v>
      </c>
      <c r="B142" s="386" t="str">
        <f t="shared" si="26"/>
        <v>MDF-Man-0115/17</v>
      </c>
      <c r="C142" s="446" t="s">
        <v>416</v>
      </c>
      <c r="D142" s="441" t="s">
        <v>369</v>
      </c>
      <c r="E142" s="444" t="s">
        <v>2</v>
      </c>
      <c r="F142" s="429">
        <v>15</v>
      </c>
      <c r="G142" s="410">
        <f t="shared" si="27"/>
        <v>42.358429999999998</v>
      </c>
      <c r="H142" s="445">
        <f t="shared" si="28"/>
        <v>635.37644999999998</v>
      </c>
      <c r="I142" s="44"/>
      <c r="J142" s="44">
        <f t="shared" si="29"/>
        <v>42.358429999999998</v>
      </c>
      <c r="K142" s="9">
        <v>37.15</v>
      </c>
      <c r="L142" s="95"/>
      <c r="M142" s="24"/>
      <c r="N142" s="17"/>
      <c r="O142" s="24"/>
      <c r="P142" s="24"/>
      <c r="Q142" s="316" t="str">
        <f t="shared" si="30"/>
        <v>MDF-Man-0115/17</v>
      </c>
      <c r="S142" s="348">
        <f t="shared" si="24"/>
        <v>0</v>
      </c>
      <c r="U142" s="32" t="s">
        <v>218</v>
      </c>
      <c r="V142" s="105"/>
      <c r="W142" s="105"/>
      <c r="X142" s="509"/>
    </row>
    <row r="143" spans="1:24" s="316" customFormat="1" ht="27" customHeight="1">
      <c r="A143" s="423" t="s">
        <v>491</v>
      </c>
      <c r="B143" s="386" t="str">
        <f t="shared" si="26"/>
        <v>MDF-Man-0116/17</v>
      </c>
      <c r="C143" s="446" t="s">
        <v>416</v>
      </c>
      <c r="D143" s="441" t="s">
        <v>454</v>
      </c>
      <c r="E143" s="444" t="s">
        <v>2</v>
      </c>
      <c r="F143" s="429">
        <v>15</v>
      </c>
      <c r="G143" s="410">
        <f t="shared" si="27"/>
        <v>42.255812000000006</v>
      </c>
      <c r="H143" s="445">
        <f t="shared" si="28"/>
        <v>633.8371800000001</v>
      </c>
      <c r="I143" s="44"/>
      <c r="J143" s="44">
        <f t="shared" si="29"/>
        <v>42.255812000000006</v>
      </c>
      <c r="K143" s="9">
        <v>37.06</v>
      </c>
      <c r="L143" s="95"/>
      <c r="M143" s="24"/>
      <c r="N143" s="17"/>
      <c r="O143" s="24"/>
      <c r="P143" s="24"/>
      <c r="Q143" s="316" t="str">
        <f t="shared" si="30"/>
        <v>MDF-Man-0116/17</v>
      </c>
      <c r="S143" s="348">
        <f t="shared" si="24"/>
        <v>0</v>
      </c>
      <c r="U143" s="32" t="s">
        <v>412</v>
      </c>
      <c r="V143" s="105"/>
      <c r="W143" s="105"/>
      <c r="X143" s="509"/>
    </row>
    <row r="144" spans="1:24" s="316" customFormat="1" ht="27" customHeight="1">
      <c r="A144" s="423" t="s">
        <v>492</v>
      </c>
      <c r="B144" s="386" t="str">
        <f t="shared" si="26"/>
        <v>MDF-Man-0117/17</v>
      </c>
      <c r="C144" s="446" t="s">
        <v>416</v>
      </c>
      <c r="D144" s="441" t="s">
        <v>455</v>
      </c>
      <c r="E144" s="444" t="s">
        <v>2</v>
      </c>
      <c r="F144" s="429">
        <v>15</v>
      </c>
      <c r="G144" s="410">
        <f t="shared" ref="G144:G152" si="31">J144</f>
        <v>42.575068000000002</v>
      </c>
      <c r="H144" s="445">
        <f t="shared" ref="H144:H152" si="32">G144*F144</f>
        <v>638.62602000000004</v>
      </c>
      <c r="I144" s="44"/>
      <c r="J144" s="44">
        <f t="shared" si="29"/>
        <v>42.575068000000002</v>
      </c>
      <c r="K144" s="9">
        <v>37.340000000000003</v>
      </c>
      <c r="L144" s="95"/>
      <c r="M144" s="24"/>
      <c r="N144" s="17"/>
      <c r="O144" s="24"/>
      <c r="P144" s="24"/>
      <c r="Q144" s="316" t="str">
        <f t="shared" si="30"/>
        <v>MDF-Man-0117/17</v>
      </c>
      <c r="S144" s="348">
        <f t="shared" si="24"/>
        <v>0</v>
      </c>
      <c r="U144" s="32" t="s">
        <v>219</v>
      </c>
      <c r="V144" s="105"/>
      <c r="W144" s="105"/>
      <c r="X144" s="509"/>
    </row>
    <row r="145" spans="1:24" s="316" customFormat="1" ht="27" customHeight="1">
      <c r="A145" s="423" t="s">
        <v>493</v>
      </c>
      <c r="B145" s="386" t="str">
        <f t="shared" si="26"/>
        <v>MDF-Man-0118/17</v>
      </c>
      <c r="C145" s="446" t="s">
        <v>416</v>
      </c>
      <c r="D145" s="441" t="s">
        <v>370</v>
      </c>
      <c r="E145" s="444" t="s">
        <v>2</v>
      </c>
      <c r="F145" s="429">
        <v>15</v>
      </c>
      <c r="G145" s="410">
        <f t="shared" si="31"/>
        <v>42.255812000000006</v>
      </c>
      <c r="H145" s="445">
        <f t="shared" si="32"/>
        <v>633.8371800000001</v>
      </c>
      <c r="I145" s="44"/>
      <c r="J145" s="44">
        <f t="shared" si="29"/>
        <v>42.255812000000006</v>
      </c>
      <c r="K145" s="9">
        <v>37.06</v>
      </c>
      <c r="L145" s="95"/>
      <c r="M145" s="24"/>
      <c r="N145" s="17"/>
      <c r="O145" s="24"/>
      <c r="P145" s="24"/>
      <c r="Q145" s="316" t="str">
        <f t="shared" si="30"/>
        <v>MDF-Man-0118/17</v>
      </c>
      <c r="S145" s="348">
        <f t="shared" si="24"/>
        <v>0</v>
      </c>
      <c r="U145" s="32" t="s">
        <v>220</v>
      </c>
      <c r="V145" s="105"/>
      <c r="W145" s="105"/>
      <c r="X145" s="509"/>
    </row>
    <row r="146" spans="1:24" s="316" customFormat="1" ht="27" customHeight="1">
      <c r="A146" s="423" t="s">
        <v>494</v>
      </c>
      <c r="B146" s="386" t="str">
        <f t="shared" si="26"/>
        <v>MDF-Man-0119/17</v>
      </c>
      <c r="C146" s="446" t="s">
        <v>406</v>
      </c>
      <c r="D146" s="441" t="s">
        <v>360</v>
      </c>
      <c r="E146" s="444" t="s">
        <v>2</v>
      </c>
      <c r="F146" s="429">
        <v>15</v>
      </c>
      <c r="G146" s="410">
        <f t="shared" si="31"/>
        <v>54.250715999999997</v>
      </c>
      <c r="H146" s="445">
        <f t="shared" si="32"/>
        <v>813.76073999999994</v>
      </c>
      <c r="I146" s="44"/>
      <c r="J146" s="44">
        <f t="shared" si="29"/>
        <v>54.250715999999997</v>
      </c>
      <c r="K146" s="9">
        <v>47.58</v>
      </c>
      <c r="L146" s="95"/>
      <c r="M146" s="24"/>
      <c r="N146" s="17"/>
      <c r="O146" s="24"/>
      <c r="P146" s="24"/>
      <c r="Q146" s="316" t="str">
        <f t="shared" si="30"/>
        <v>MDF-Man-0119/17</v>
      </c>
      <c r="S146" s="348">
        <f t="shared" si="24"/>
        <v>0</v>
      </c>
      <c r="U146" s="32" t="s">
        <v>221</v>
      </c>
      <c r="V146" s="105"/>
      <c r="W146" s="105"/>
      <c r="X146" s="509"/>
    </row>
    <row r="147" spans="1:24" s="316" customFormat="1" ht="27" customHeight="1">
      <c r="A147" s="423" t="s">
        <v>495</v>
      </c>
      <c r="B147" s="386" t="str">
        <f t="shared" si="26"/>
        <v>MDF-Man-0120/17</v>
      </c>
      <c r="C147" s="446" t="s">
        <v>406</v>
      </c>
      <c r="D147" s="441" t="s">
        <v>359</v>
      </c>
      <c r="E147" s="444" t="s">
        <v>2</v>
      </c>
      <c r="F147" s="429">
        <v>15</v>
      </c>
      <c r="G147" s="410">
        <f t="shared" si="31"/>
        <v>55.242690000000003</v>
      </c>
      <c r="H147" s="445">
        <f t="shared" si="32"/>
        <v>828.64035000000001</v>
      </c>
      <c r="I147" s="44"/>
      <c r="J147" s="44">
        <f t="shared" si="29"/>
        <v>55.242690000000003</v>
      </c>
      <c r="K147" s="9">
        <v>48.45</v>
      </c>
      <c r="L147" s="95"/>
      <c r="M147" s="24"/>
      <c r="N147" s="17"/>
      <c r="O147" s="24"/>
      <c r="P147" s="24"/>
      <c r="Q147" s="316" t="str">
        <f t="shared" si="30"/>
        <v>MDF-Man-0120/17</v>
      </c>
      <c r="S147" s="348">
        <f t="shared" si="24"/>
        <v>0</v>
      </c>
      <c r="U147" s="32" t="s">
        <v>222</v>
      </c>
      <c r="V147" s="105"/>
      <c r="W147" s="105"/>
      <c r="X147" s="509"/>
    </row>
    <row r="148" spans="1:24" s="316" customFormat="1" ht="27" customHeight="1">
      <c r="A148" s="423" t="s">
        <v>496</v>
      </c>
      <c r="B148" s="386" t="str">
        <f t="shared" si="26"/>
        <v>MDF-Man-0121/17</v>
      </c>
      <c r="C148" s="386" t="s">
        <v>406</v>
      </c>
      <c r="D148" s="441" t="s">
        <v>377</v>
      </c>
      <c r="E148" s="409" t="s">
        <v>2</v>
      </c>
      <c r="F148" s="429">
        <v>15</v>
      </c>
      <c r="G148" s="410">
        <f t="shared" si="31"/>
        <v>4.321358</v>
      </c>
      <c r="H148" s="445">
        <f t="shared" si="32"/>
        <v>64.820369999999997</v>
      </c>
      <c r="I148" s="44"/>
      <c r="J148" s="44">
        <f t="shared" si="29"/>
        <v>4.321358</v>
      </c>
      <c r="K148" s="9">
        <v>3.79</v>
      </c>
      <c r="L148" s="95"/>
      <c r="M148" s="24"/>
      <c r="N148" s="17"/>
      <c r="O148" s="24"/>
      <c r="P148" s="24"/>
      <c r="Q148" s="316" t="str">
        <f t="shared" si="30"/>
        <v>MDF-Man-0121/17</v>
      </c>
      <c r="S148" s="348">
        <f t="shared" si="24"/>
        <v>0</v>
      </c>
      <c r="U148" s="32" t="s">
        <v>223</v>
      </c>
      <c r="V148" s="105"/>
      <c r="W148" s="105"/>
      <c r="X148" s="509"/>
    </row>
    <row r="149" spans="1:24" ht="27" customHeight="1">
      <c r="A149" s="423" t="s">
        <v>507</v>
      </c>
      <c r="B149" s="386" t="str">
        <f t="shared" si="26"/>
        <v>MDF-Man-0122/17</v>
      </c>
      <c r="C149" s="386" t="s">
        <v>406</v>
      </c>
      <c r="D149" s="441" t="s">
        <v>394</v>
      </c>
      <c r="E149" s="409" t="s">
        <v>433</v>
      </c>
      <c r="F149" s="429">
        <v>5</v>
      </c>
      <c r="G149" s="410">
        <f t="shared" si="31"/>
        <v>91.215999999999994</v>
      </c>
      <c r="H149" s="445">
        <f t="shared" si="32"/>
        <v>456.08</v>
      </c>
      <c r="I149" s="44"/>
      <c r="J149" s="44">
        <f t="shared" si="29"/>
        <v>91.215999999999994</v>
      </c>
      <c r="K149" s="9">
        <v>80</v>
      </c>
      <c r="L149" s="95" t="e">
        <f>VLOOKUP(D150,#REF!,2,FALSE)</f>
        <v>#REF!</v>
      </c>
      <c r="M149" s="24"/>
      <c r="N149" s="17" t="s">
        <v>314</v>
      </c>
      <c r="O149" s="24" t="str">
        <f>N149&amp;" -PINI"</f>
        <v>32.003.000003.SER -PINI</v>
      </c>
      <c r="P149" s="24"/>
      <c r="Q149" s="316" t="str">
        <f t="shared" si="30"/>
        <v>MDF-Man-0122/17</v>
      </c>
      <c r="S149" s="357">
        <f t="shared" si="24"/>
        <v>0</v>
      </c>
      <c r="U149" s="32" t="s">
        <v>224</v>
      </c>
      <c r="V149" s="105"/>
      <c r="W149" s="105"/>
    </row>
    <row r="150" spans="1:24" ht="27" customHeight="1">
      <c r="A150" s="423" t="s">
        <v>508</v>
      </c>
      <c r="B150" s="386" t="str">
        <f t="shared" si="26"/>
        <v>MDF-Man-0123/17</v>
      </c>
      <c r="C150" s="386" t="s">
        <v>406</v>
      </c>
      <c r="D150" s="441" t="s">
        <v>393</v>
      </c>
      <c r="E150" s="409" t="s">
        <v>433</v>
      </c>
      <c r="F150" s="429">
        <v>3</v>
      </c>
      <c r="G150" s="410">
        <f t="shared" si="31"/>
        <v>91.215999999999994</v>
      </c>
      <c r="H150" s="445">
        <f t="shared" si="32"/>
        <v>273.64799999999997</v>
      </c>
      <c r="I150" s="44"/>
      <c r="J150" s="44">
        <f t="shared" si="29"/>
        <v>91.215999999999994</v>
      </c>
      <c r="K150" s="9">
        <v>80</v>
      </c>
      <c r="L150" s="95" t="e">
        <f>VLOOKUP(D151,#REF!,2,FALSE)</f>
        <v>#REF!</v>
      </c>
      <c r="M150" s="24"/>
      <c r="N150" s="17" t="s">
        <v>315</v>
      </c>
      <c r="O150" s="24" t="str">
        <f>N150&amp;" -PINI"</f>
        <v>32.004.000001.SER -PINI</v>
      </c>
      <c r="P150" s="24"/>
      <c r="Q150" s="316" t="str">
        <f t="shared" si="30"/>
        <v>MDF-Man-0123/17</v>
      </c>
      <c r="S150" s="357">
        <f t="shared" si="24"/>
        <v>0</v>
      </c>
      <c r="U150" s="32" t="s">
        <v>413</v>
      </c>
      <c r="V150" s="105"/>
      <c r="W150" s="105"/>
    </row>
    <row r="151" spans="1:24" ht="27" customHeight="1">
      <c r="A151" s="423" t="s">
        <v>509</v>
      </c>
      <c r="B151" s="386" t="str">
        <f t="shared" si="26"/>
        <v>MDF-Man-0124/17</v>
      </c>
      <c r="C151" s="386" t="s">
        <v>406</v>
      </c>
      <c r="D151" s="441" t="s">
        <v>428</v>
      </c>
      <c r="E151" s="409" t="s">
        <v>433</v>
      </c>
      <c r="F151" s="429">
        <v>20</v>
      </c>
      <c r="G151" s="410">
        <f t="shared" si="31"/>
        <v>5.6325880000000002</v>
      </c>
      <c r="H151" s="445">
        <f t="shared" si="32"/>
        <v>112.65176</v>
      </c>
      <c r="I151" s="44"/>
      <c r="J151" s="44">
        <f t="shared" si="29"/>
        <v>5.6325880000000002</v>
      </c>
      <c r="K151" s="9">
        <v>4.9400000000000004</v>
      </c>
      <c r="L151" s="95" t="e">
        <f>VLOOKUP(D152,#REF!,2,FALSE)</f>
        <v>#REF!</v>
      </c>
      <c r="M151" s="24"/>
      <c r="N151" s="17" t="s">
        <v>316</v>
      </c>
      <c r="O151" s="24" t="str">
        <f>N151&amp;" -PINI"</f>
        <v>32.004.000002.SER -PINI</v>
      </c>
      <c r="P151" s="24"/>
      <c r="Q151" s="316" t="str">
        <f t="shared" si="30"/>
        <v>MDF-Man-0124/17</v>
      </c>
      <c r="S151" s="348">
        <f t="shared" si="24"/>
        <v>0</v>
      </c>
      <c r="U151" s="32" t="s">
        <v>225</v>
      </c>
      <c r="V151" s="105"/>
      <c r="W151" s="105"/>
    </row>
    <row r="152" spans="1:24" ht="27" customHeight="1">
      <c r="A152" s="423" t="s">
        <v>510</v>
      </c>
      <c r="B152" s="386" t="str">
        <f t="shared" si="26"/>
        <v>MDF-Man-0125/17</v>
      </c>
      <c r="C152" s="386" t="s">
        <v>406</v>
      </c>
      <c r="D152" s="441" t="s">
        <v>367</v>
      </c>
      <c r="E152" s="409" t="s">
        <v>433</v>
      </c>
      <c r="F152" s="429">
        <v>5</v>
      </c>
      <c r="G152" s="410">
        <f t="shared" si="31"/>
        <v>20.523600000000002</v>
      </c>
      <c r="H152" s="445">
        <f t="shared" si="32"/>
        <v>102.61800000000001</v>
      </c>
      <c r="I152" s="44"/>
      <c r="J152" s="44">
        <f t="shared" si="29"/>
        <v>20.523600000000002</v>
      </c>
      <c r="K152" s="9">
        <v>18</v>
      </c>
      <c r="L152" s="95" t="e">
        <f>VLOOKUP(#REF!,#REF!,2,FALSE)</f>
        <v>#REF!</v>
      </c>
      <c r="M152" s="24"/>
      <c r="N152" s="17" t="s">
        <v>317</v>
      </c>
      <c r="O152" s="24" t="str">
        <f>N152&amp;" -PINI"</f>
        <v>32.004.000003.SER -PINI</v>
      </c>
      <c r="P152" s="24"/>
      <c r="Q152" s="316" t="str">
        <f t="shared" si="30"/>
        <v>MDF-Man-0125/17</v>
      </c>
      <c r="S152" s="348">
        <f t="shared" si="24"/>
        <v>0</v>
      </c>
      <c r="U152" s="32" t="s">
        <v>226</v>
      </c>
      <c r="V152" s="105"/>
      <c r="W152" s="105"/>
    </row>
    <row r="153" spans="1:24" ht="22.5" customHeight="1" thickBot="1">
      <c r="A153" s="460"/>
      <c r="B153" s="461"/>
      <c r="C153" s="462"/>
      <c r="D153" s="463" t="s">
        <v>514</v>
      </c>
      <c r="E153" s="464"/>
      <c r="F153" s="465"/>
      <c r="G153" s="465"/>
      <c r="H153" s="484">
        <f>SUM(H92:H152)</f>
        <v>42495.333814000034</v>
      </c>
      <c r="I153" s="16">
        <f>H75+H153</f>
        <v>62607.914518000034</v>
      </c>
      <c r="J153" s="44"/>
      <c r="K153" s="44"/>
      <c r="L153" s="110"/>
      <c r="M153" s="111"/>
      <c r="N153" s="14"/>
      <c r="O153" s="24"/>
      <c r="P153" s="15"/>
      <c r="Q153" s="125" t="str">
        <f t="shared" si="30"/>
        <v>/17</v>
      </c>
      <c r="S153" s="121"/>
      <c r="U153" s="32"/>
      <c r="V153" s="13"/>
      <c r="W153" s="13"/>
    </row>
    <row r="154" spans="1:24" ht="22.5" customHeight="1">
      <c r="A154" s="466"/>
      <c r="B154" s="467"/>
      <c r="C154" s="468"/>
      <c r="D154" s="469"/>
      <c r="E154" s="470"/>
      <c r="F154" s="471"/>
      <c r="G154" s="471"/>
      <c r="H154" s="472"/>
      <c r="I154" s="112"/>
      <c r="J154" s="44"/>
      <c r="K154" s="44"/>
      <c r="L154" s="113"/>
      <c r="M154" s="114"/>
      <c r="O154" s="31"/>
      <c r="Q154" s="125" t="str">
        <f t="shared" si="30"/>
        <v>/17</v>
      </c>
      <c r="S154" s="131"/>
      <c r="U154" s="32"/>
    </row>
    <row r="155" spans="1:24" ht="33.75" customHeight="1">
      <c r="A155" s="466"/>
      <c r="B155" s="467"/>
      <c r="C155" s="468"/>
      <c r="D155" s="473"/>
      <c r="E155" s="776" t="s">
        <v>502</v>
      </c>
      <c r="F155" s="777"/>
      <c r="G155" s="777"/>
      <c r="H155" s="485">
        <f>H153+H75+H90+H37+H31+H22+H13</f>
        <v>889040.92684253026</v>
      </c>
      <c r="I155" s="115"/>
      <c r="J155" s="44">
        <f>H155/12</f>
        <v>74086.743903544193</v>
      </c>
      <c r="K155" s="43"/>
      <c r="L155" s="116"/>
      <c r="M155" s="114"/>
      <c r="O155" s="31"/>
      <c r="Q155" s="125" t="str">
        <f t="shared" si="30"/>
        <v>/17</v>
      </c>
      <c r="S155"/>
      <c r="U155" s="32"/>
      <c r="V155" s="486">
        <f>H155/12</f>
        <v>74086.743903544193</v>
      </c>
    </row>
    <row r="156" spans="1:24" s="316" customFormat="1" ht="33" customHeight="1">
      <c r="A156" s="466"/>
      <c r="B156" s="467"/>
      <c r="C156" s="468"/>
      <c r="D156" s="474"/>
      <c r="E156" s="773" t="s">
        <v>414</v>
      </c>
      <c r="F156" s="774"/>
      <c r="G156" s="775"/>
      <c r="H156" s="475">
        <v>0.14019999999999999</v>
      </c>
      <c r="I156" s="115"/>
      <c r="J156" s="16">
        <f>J155*0.8</f>
        <v>59269.395122835354</v>
      </c>
      <c r="K156" s="16"/>
      <c r="L156" s="116"/>
      <c r="M156" s="114"/>
      <c r="N156" s="5"/>
      <c r="O156" s="31"/>
      <c r="P156" s="1"/>
      <c r="U156" s="32"/>
      <c r="V156" s="7"/>
      <c r="W156" s="7"/>
      <c r="X156" s="509"/>
    </row>
    <row r="157" spans="1:24" ht="41.25" customHeight="1">
      <c r="A157" s="466"/>
      <c r="B157" s="467"/>
      <c r="C157" s="468"/>
      <c r="D157" s="474"/>
      <c r="E157" s="773" t="s">
        <v>415</v>
      </c>
      <c r="F157" s="774"/>
      <c r="G157" s="775"/>
      <c r="H157" s="475">
        <v>0.25840000000000002</v>
      </c>
      <c r="I157" s="78"/>
      <c r="J157" s="112"/>
      <c r="K157" s="112"/>
      <c r="L157" s="117"/>
      <c r="M157" s="118"/>
      <c r="Q157" s="125" t="str">
        <f t="shared" ref="Q157:Q169" si="33">U157&amp;"/17"</f>
        <v>/17</v>
      </c>
      <c r="S157"/>
      <c r="U157" s="32"/>
    </row>
    <row r="158" spans="1:24" ht="15.75">
      <c r="A158" s="476" t="s">
        <v>231</v>
      </c>
      <c r="B158" s="477"/>
      <c r="C158" s="478"/>
      <c r="D158" s="479"/>
      <c r="E158" s="480"/>
      <c r="F158" s="480"/>
      <c r="G158" s="480"/>
      <c r="H158" s="481"/>
      <c r="I158" s="78"/>
      <c r="J158" s="115"/>
      <c r="K158" s="115"/>
      <c r="L158" s="117"/>
      <c r="M158" s="118"/>
      <c r="Q158" s="125" t="str">
        <f t="shared" si="33"/>
        <v>/17</v>
      </c>
      <c r="S158" s="100"/>
      <c r="U158" s="32"/>
    </row>
    <row r="159" spans="1:24" ht="36.75" customHeight="1">
      <c r="A159" s="803" t="s">
        <v>323</v>
      </c>
      <c r="B159" s="804"/>
      <c r="C159" s="804"/>
      <c r="D159" s="804"/>
      <c r="E159" s="804"/>
      <c r="F159" s="804"/>
      <c r="G159" s="804"/>
      <c r="H159" s="805"/>
      <c r="I159" s="78"/>
      <c r="J159" s="115"/>
      <c r="K159" s="115"/>
      <c r="L159" s="117"/>
      <c r="M159" s="118"/>
      <c r="Q159" s="125" t="str">
        <f t="shared" si="33"/>
        <v>/17</v>
      </c>
      <c r="S159"/>
      <c r="U159" s="32"/>
    </row>
    <row r="160" spans="1:24" ht="69.75" customHeight="1">
      <c r="A160" s="816" t="s">
        <v>624</v>
      </c>
      <c r="B160" s="816"/>
      <c r="C160" s="816"/>
      <c r="D160" s="816"/>
      <c r="E160" s="816"/>
      <c r="F160" s="816"/>
      <c r="G160" s="816"/>
      <c r="H160" s="816"/>
      <c r="I160" s="78"/>
      <c r="J160" s="78"/>
      <c r="K160" s="78"/>
      <c r="L160" s="117"/>
      <c r="M160" s="118"/>
      <c r="Q160" s="125" t="str">
        <f t="shared" si="33"/>
        <v>/17</v>
      </c>
      <c r="S160"/>
    </row>
    <row r="161" spans="1:24" s="502" customFormat="1" ht="41.25" customHeight="1">
      <c r="A161" s="804" t="s">
        <v>440</v>
      </c>
      <c r="B161" s="817"/>
      <c r="C161" s="817"/>
      <c r="D161" s="817"/>
      <c r="E161" s="817"/>
      <c r="F161" s="817"/>
      <c r="G161" s="817"/>
      <c r="H161" s="817"/>
      <c r="I161" s="498"/>
      <c r="J161" s="78"/>
      <c r="K161" s="78"/>
      <c r="L161" s="117"/>
      <c r="M161" s="117"/>
      <c r="N161" s="499"/>
      <c r="O161" s="500"/>
      <c r="P161" s="500"/>
      <c r="Q161" s="501" t="str">
        <f t="shared" si="33"/>
        <v>/17</v>
      </c>
      <c r="S161" s="117"/>
      <c r="U161" s="503"/>
      <c r="V161" s="503"/>
      <c r="W161" s="503"/>
      <c r="X161" s="514"/>
    </row>
    <row r="162" spans="1:24" ht="81" customHeight="1">
      <c r="A162" s="815" t="s">
        <v>820</v>
      </c>
      <c r="B162" s="815"/>
      <c r="C162" s="815"/>
      <c r="D162" s="815"/>
      <c r="E162" s="815"/>
      <c r="F162" s="815"/>
      <c r="G162" s="815"/>
      <c r="H162" s="815"/>
      <c r="I162" s="122"/>
      <c r="J162" s="78"/>
      <c r="K162" s="78"/>
      <c r="L162" s="120"/>
      <c r="M162" s="118"/>
      <c r="Q162" s="125" t="str">
        <f t="shared" si="33"/>
        <v>/17</v>
      </c>
      <c r="S162" s="4"/>
    </row>
    <row r="163" spans="1:24" ht="61.5" customHeight="1">
      <c r="A163" s="812" t="s">
        <v>500</v>
      </c>
      <c r="B163" s="813"/>
      <c r="C163" s="813"/>
      <c r="D163" s="813"/>
      <c r="E163" s="813"/>
      <c r="F163" s="813"/>
      <c r="G163" s="813"/>
      <c r="H163" s="814"/>
      <c r="I163" s="78"/>
      <c r="J163" s="78"/>
      <c r="K163" s="78"/>
      <c r="Q163" s="125" t="str">
        <f t="shared" si="33"/>
        <v>/17</v>
      </c>
      <c r="S163" s="4"/>
    </row>
    <row r="164" spans="1:24" ht="51.75" customHeight="1">
      <c r="A164" s="812" t="s">
        <v>819</v>
      </c>
      <c r="B164" s="813"/>
      <c r="C164" s="813"/>
      <c r="D164" s="813"/>
      <c r="E164" s="813"/>
      <c r="F164" s="813"/>
      <c r="G164" s="813"/>
      <c r="H164" s="814"/>
      <c r="I164" s="602"/>
      <c r="J164" s="117"/>
      <c r="K164" s="117"/>
      <c r="L164" s="98"/>
      <c r="Q164" s="125" t="str">
        <f t="shared" si="33"/>
        <v>/17</v>
      </c>
    </row>
    <row r="165" spans="1:24">
      <c r="A165" s="143"/>
      <c r="B165" s="132"/>
      <c r="H165" s="136"/>
      <c r="I165" s="78"/>
      <c r="J165" s="122"/>
      <c r="K165" s="119"/>
      <c r="Q165" s="125" t="str">
        <f t="shared" si="33"/>
        <v>/17</v>
      </c>
    </row>
    <row r="166" spans="1:24">
      <c r="A166" s="143"/>
      <c r="B166" s="132"/>
      <c r="H166" s="137"/>
      <c r="I166" s="48"/>
      <c r="J166" s="78"/>
      <c r="L166" s="97"/>
      <c r="Q166" s="125" t="str">
        <f t="shared" si="33"/>
        <v>/17</v>
      </c>
    </row>
    <row r="167" spans="1:24">
      <c r="J167" s="122"/>
      <c r="K167" s="49"/>
      <c r="M167" s="124"/>
      <c r="Q167" s="125" t="str">
        <f t="shared" si="33"/>
        <v>/17</v>
      </c>
    </row>
    <row r="168" spans="1:24">
      <c r="I168" s="50"/>
      <c r="J168" s="78"/>
      <c r="L168" s="99"/>
      <c r="Q168" s="125" t="str">
        <f t="shared" si="33"/>
        <v>/17</v>
      </c>
    </row>
    <row r="169" spans="1:24">
      <c r="J169" s="48"/>
      <c r="K169" s="48"/>
      <c r="Q169" s="125" t="str">
        <f t="shared" si="33"/>
        <v>/17</v>
      </c>
    </row>
    <row r="171" spans="1:24">
      <c r="J171" s="50"/>
      <c r="K171" s="50"/>
    </row>
    <row r="184" spans="9:9">
      <c r="I184" s="38">
        <f>532/12</f>
        <v>44.333333333333336</v>
      </c>
    </row>
  </sheetData>
  <autoFilter ref="A8:H8"/>
  <sortState ref="D83:J160">
    <sortCondition ref="D83"/>
  </sortState>
  <mergeCells count="21">
    <mergeCell ref="A164:H164"/>
    <mergeCell ref="A163:H163"/>
    <mergeCell ref="A162:H162"/>
    <mergeCell ref="A160:H160"/>
    <mergeCell ref="A161:H161"/>
    <mergeCell ref="A159:H159"/>
    <mergeCell ref="E157:G157"/>
    <mergeCell ref="B32:G32"/>
    <mergeCell ref="B9:H9"/>
    <mergeCell ref="B19:H19"/>
    <mergeCell ref="B23:G23"/>
    <mergeCell ref="U1:U4"/>
    <mergeCell ref="E156:G156"/>
    <mergeCell ref="E155:G155"/>
    <mergeCell ref="B14:H14"/>
    <mergeCell ref="B1:B4"/>
    <mergeCell ref="C5:H5"/>
    <mergeCell ref="F2:H2"/>
    <mergeCell ref="A6:H6"/>
    <mergeCell ref="F3:H4"/>
    <mergeCell ref="C1:E4"/>
  </mergeCells>
  <printOptions horizontalCentered="1"/>
  <pageMargins left="0.31496062992125984" right="0.31496062992125984" top="0.47244094488188981" bottom="0.31496062992125984" header="0.39370078740157483" footer="0.19685039370078741"/>
  <pageSetup paperSize="9" scale="52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2"/>
  <dimension ref="A1:W145"/>
  <sheetViews>
    <sheetView showGridLines="0" view="pageBreakPreview" zoomScale="85" zoomScaleNormal="90" zoomScaleSheetLayoutView="85" zoomScalePageLayoutView="85" workbookViewId="0">
      <selection activeCell="B6" sqref="B6"/>
    </sheetView>
  </sheetViews>
  <sheetFormatPr defaultRowHeight="15"/>
  <cols>
    <col min="1" max="1" width="13.7109375" style="67" customWidth="1"/>
    <col min="2" max="2" width="100.85546875" style="2" customWidth="1"/>
    <col min="3" max="3" width="17.140625" style="48" customWidth="1"/>
    <col min="4" max="4" width="16" style="38" hidden="1" customWidth="1"/>
    <col min="5" max="5" width="12.42578125" style="1" hidden="1" customWidth="1"/>
    <col min="6" max="6" width="21.7109375" style="5" hidden="1" customWidth="1"/>
    <col min="7" max="7" width="29.28515625" style="1" hidden="1" customWidth="1"/>
    <col min="8" max="8" width="12.42578125" style="1" hidden="1" customWidth="1"/>
    <col min="9" max="9" width="17.140625" hidden="1" customWidth="1"/>
    <col min="10" max="10" width="15.42578125" hidden="1" customWidth="1"/>
    <col min="11" max="11" width="16.42578125" style="80" customWidth="1"/>
    <col min="12" max="12" width="17.28515625" style="7" hidden="1" customWidth="1"/>
    <col min="13" max="13" width="13.42578125" style="1" customWidth="1"/>
    <col min="16" max="16" width="8.140625" style="619" hidden="1" customWidth="1"/>
    <col min="17" max="17" width="18" style="624" hidden="1" customWidth="1"/>
    <col min="18" max="18" width="25" hidden="1" customWidth="1"/>
    <col min="19" max="19" width="67.5703125" hidden="1" customWidth="1"/>
    <col min="20" max="20" width="9.140625" style="619" hidden="1" customWidth="1"/>
    <col min="21" max="21" width="9.42578125" style="619" hidden="1" customWidth="1"/>
    <col min="22" max="23" width="15" style="619" hidden="1" customWidth="1"/>
  </cols>
  <sheetData>
    <row r="1" spans="1:23" s="68" customFormat="1" ht="118.5" customHeight="1" thickBot="1">
      <c r="A1" s="81"/>
      <c r="B1" s="82"/>
      <c r="C1" s="362"/>
      <c r="D1" s="83"/>
      <c r="E1" s="84"/>
      <c r="F1" s="85"/>
      <c r="G1" s="85"/>
      <c r="H1" s="85"/>
      <c r="I1" s="85"/>
      <c r="J1" s="85"/>
      <c r="K1" s="85"/>
      <c r="L1" s="86"/>
      <c r="M1" s="87"/>
      <c r="P1" s="626"/>
      <c r="Q1" s="623"/>
      <c r="T1" s="626"/>
      <c r="U1" s="626"/>
      <c r="V1" s="626"/>
      <c r="W1" s="626"/>
    </row>
    <row r="2" spans="1:23" ht="47.25">
      <c r="A2" s="605" t="s">
        <v>3</v>
      </c>
      <c r="B2" s="606" t="s">
        <v>5</v>
      </c>
      <c r="C2" s="607" t="s">
        <v>17</v>
      </c>
      <c r="D2" s="608"/>
      <c r="E2" s="609"/>
      <c r="F2" s="610" t="s">
        <v>11</v>
      </c>
      <c r="G2" s="609"/>
      <c r="H2" s="609"/>
      <c r="I2" s="611"/>
      <c r="J2" s="611"/>
      <c r="K2" s="612" t="s">
        <v>227</v>
      </c>
      <c r="L2" s="613" t="s">
        <v>4</v>
      </c>
      <c r="M2" s="612" t="s">
        <v>230</v>
      </c>
    </row>
    <row r="3" spans="1:23" ht="27" customHeight="1">
      <c r="A3" s="526" t="s">
        <v>555</v>
      </c>
      <c r="B3" s="527" t="s">
        <v>611</v>
      </c>
      <c r="C3" s="604">
        <f t="shared" ref="C3:C34" si="0">VLOOKUP(A3,$P$3:$W$144, 8, FALSE)</f>
        <v>175974.97336847999</v>
      </c>
      <c r="D3" s="528"/>
      <c r="E3" s="515"/>
      <c r="F3" s="516"/>
      <c r="G3" s="515"/>
      <c r="H3" s="515"/>
      <c r="I3" s="517"/>
      <c r="J3" s="517"/>
      <c r="K3" s="628">
        <f t="shared" ref="K3:K34" si="1">(C3*100)/$C$128</f>
        <v>19.793798919186237</v>
      </c>
      <c r="L3" s="518"/>
      <c r="M3" s="519">
        <f>K3</f>
        <v>19.793798919186237</v>
      </c>
      <c r="P3" s="619" t="s">
        <v>20</v>
      </c>
      <c r="Q3" s="624" t="s">
        <v>693</v>
      </c>
      <c r="R3" t="s">
        <v>23</v>
      </c>
      <c r="S3" t="s">
        <v>321</v>
      </c>
      <c r="T3" s="619" t="s">
        <v>0</v>
      </c>
      <c r="U3" s="619">
        <v>1</v>
      </c>
      <c r="V3" s="619">
        <v>270.32948799999997</v>
      </c>
      <c r="W3" s="619">
        <v>270.32948799999997</v>
      </c>
    </row>
    <row r="4" spans="1:23" ht="27" customHeight="1">
      <c r="A4" s="529" t="s">
        <v>34</v>
      </c>
      <c r="B4" s="530" t="s">
        <v>609</v>
      </c>
      <c r="C4" s="604">
        <f t="shared" si="0"/>
        <v>140440.96135555199</v>
      </c>
      <c r="D4" s="363"/>
      <c r="E4" s="364"/>
      <c r="F4" s="365"/>
      <c r="G4" s="364"/>
      <c r="H4" s="364"/>
      <c r="I4" s="366"/>
      <c r="J4" s="366"/>
      <c r="K4" s="367">
        <f t="shared" si="1"/>
        <v>15.796906207044323</v>
      </c>
      <c r="L4" s="368"/>
      <c r="M4" s="520">
        <f>K4+M3</f>
        <v>35.59070512623056</v>
      </c>
      <c r="P4" s="619" t="s">
        <v>21</v>
      </c>
      <c r="Q4" s="624" t="s">
        <v>694</v>
      </c>
      <c r="R4" t="s">
        <v>23</v>
      </c>
      <c r="S4" t="s">
        <v>480</v>
      </c>
      <c r="T4" s="619" t="s">
        <v>0</v>
      </c>
      <c r="U4" s="619">
        <v>1</v>
      </c>
      <c r="V4" s="619">
        <v>102.597352</v>
      </c>
      <c r="W4" s="619">
        <v>102.597352</v>
      </c>
    </row>
    <row r="5" spans="1:23" ht="36.75" customHeight="1">
      <c r="A5" s="529" t="s">
        <v>556</v>
      </c>
      <c r="B5" s="530" t="s">
        <v>612</v>
      </c>
      <c r="C5" s="604">
        <f t="shared" si="0"/>
        <v>99197.013705503981</v>
      </c>
      <c r="D5" s="363"/>
      <c r="E5" s="364"/>
      <c r="F5" s="365"/>
      <c r="G5" s="364"/>
      <c r="H5" s="364"/>
      <c r="I5" s="366"/>
      <c r="J5" s="366"/>
      <c r="K5" s="367">
        <f t="shared" si="1"/>
        <v>11.157755589251304</v>
      </c>
      <c r="L5" s="368"/>
      <c r="M5" s="520">
        <f t="shared" ref="M5:M68" si="2">K5+M4</f>
        <v>46.748460715481862</v>
      </c>
      <c r="S5" t="s">
        <v>113</v>
      </c>
      <c r="W5" s="619">
        <v>372.92683999999997</v>
      </c>
    </row>
    <row r="6" spans="1:23" ht="27" customHeight="1">
      <c r="A6" s="529" t="s">
        <v>35</v>
      </c>
      <c r="B6" s="530" t="s">
        <v>610</v>
      </c>
      <c r="C6" s="604">
        <f t="shared" si="0"/>
        <v>80774.515011590411</v>
      </c>
      <c r="D6" s="363"/>
      <c r="E6" s="364"/>
      <c r="F6" s="365"/>
      <c r="G6" s="364"/>
      <c r="H6" s="364"/>
      <c r="I6" s="366"/>
      <c r="J6" s="366"/>
      <c r="K6" s="367">
        <f t="shared" si="1"/>
        <v>9.0855789168744856</v>
      </c>
      <c r="L6" s="368"/>
      <c r="M6" s="520">
        <f t="shared" si="2"/>
        <v>55.834039632356351</v>
      </c>
      <c r="O6" s="79"/>
      <c r="P6" s="619" t="s">
        <v>300</v>
      </c>
      <c r="Q6" s="624" t="s">
        <v>322</v>
      </c>
    </row>
    <row r="7" spans="1:23" ht="33.75" customHeight="1">
      <c r="A7" s="529" t="s">
        <v>31</v>
      </c>
      <c r="B7" s="530" t="s">
        <v>330</v>
      </c>
      <c r="C7" s="604">
        <f t="shared" si="0"/>
        <v>52324.271999999997</v>
      </c>
      <c r="D7" s="363"/>
      <c r="E7" s="364"/>
      <c r="F7" s="365"/>
      <c r="G7" s="364"/>
      <c r="H7" s="364"/>
      <c r="I7" s="366"/>
      <c r="J7" s="366"/>
      <c r="K7" s="367">
        <f t="shared" si="1"/>
        <v>5.8854739326604539</v>
      </c>
      <c r="L7" s="368"/>
      <c r="M7" s="520">
        <f t="shared" si="2"/>
        <v>61.719513565016804</v>
      </c>
      <c r="P7" s="619" t="s">
        <v>27</v>
      </c>
      <c r="Q7" s="624" t="s">
        <v>604</v>
      </c>
    </row>
    <row r="8" spans="1:23" ht="27" customHeight="1">
      <c r="A8" s="529" t="s">
        <v>551</v>
      </c>
      <c r="B8" s="530" t="s">
        <v>582</v>
      </c>
      <c r="C8" s="604">
        <f t="shared" si="0"/>
        <v>47286.787670899692</v>
      </c>
      <c r="D8" s="363"/>
      <c r="E8" s="364"/>
      <c r="F8" s="369"/>
      <c r="G8" s="364"/>
      <c r="H8" s="364"/>
      <c r="I8" s="366"/>
      <c r="J8" s="366"/>
      <c r="K8" s="367">
        <f t="shared" si="1"/>
        <v>5.318853861862233</v>
      </c>
      <c r="L8" s="368"/>
      <c r="M8" s="520">
        <f t="shared" si="2"/>
        <v>67.038367426879034</v>
      </c>
      <c r="P8" s="619" t="s">
        <v>28</v>
      </c>
      <c r="Q8" s="624" t="s">
        <v>695</v>
      </c>
      <c r="R8" t="s">
        <v>261</v>
      </c>
      <c r="S8" t="s">
        <v>518</v>
      </c>
      <c r="T8" s="619" t="s">
        <v>12</v>
      </c>
      <c r="U8" s="619">
        <v>12</v>
      </c>
      <c r="V8" s="619">
        <v>-1080</v>
      </c>
      <c r="W8" s="619">
        <v>-12960</v>
      </c>
    </row>
    <row r="9" spans="1:23" ht="27" customHeight="1">
      <c r="A9" s="529" t="s">
        <v>552</v>
      </c>
      <c r="B9" s="530" t="s">
        <v>591</v>
      </c>
      <c r="C9" s="604">
        <f t="shared" si="0"/>
        <v>46128.40459841313</v>
      </c>
      <c r="D9" s="363"/>
      <c r="E9" s="364"/>
      <c r="F9" s="365"/>
      <c r="G9" s="364"/>
      <c r="H9" s="364"/>
      <c r="I9" s="366"/>
      <c r="J9" s="366"/>
      <c r="K9" s="367">
        <f t="shared" si="1"/>
        <v>5.1885580523542707</v>
      </c>
      <c r="L9" s="368"/>
      <c r="M9" s="520">
        <f t="shared" si="2"/>
        <v>72.226925479233302</v>
      </c>
      <c r="P9" s="619" t="s">
        <v>29</v>
      </c>
      <c r="Q9" s="624" t="s">
        <v>696</v>
      </c>
      <c r="R9" t="s">
        <v>262</v>
      </c>
      <c r="S9" t="s">
        <v>517</v>
      </c>
      <c r="T9" s="619" t="s">
        <v>12</v>
      </c>
      <c r="U9" s="619">
        <v>12</v>
      </c>
      <c r="V9" s="619">
        <v>-408.40000000000003</v>
      </c>
      <c r="W9" s="619">
        <v>-4900.8</v>
      </c>
    </row>
    <row r="10" spans="1:23" ht="27" customHeight="1">
      <c r="A10" s="529" t="s">
        <v>553</v>
      </c>
      <c r="B10" s="530" t="s">
        <v>583</v>
      </c>
      <c r="C10" s="604">
        <f t="shared" si="0"/>
        <v>38317.267642368002</v>
      </c>
      <c r="D10" s="363"/>
      <c r="E10" s="364"/>
      <c r="F10" s="365"/>
      <c r="G10" s="364"/>
      <c r="H10" s="364"/>
      <c r="I10" s="366"/>
      <c r="J10" s="366"/>
      <c r="K10" s="367">
        <f t="shared" si="1"/>
        <v>4.309955423363192</v>
      </c>
      <c r="L10" s="368"/>
      <c r="M10" s="520">
        <f t="shared" si="2"/>
        <v>76.536880902596494</v>
      </c>
      <c r="P10" s="619" t="s">
        <v>565</v>
      </c>
      <c r="Q10" s="624" t="s">
        <v>697</v>
      </c>
      <c r="R10" t="s">
        <v>263</v>
      </c>
      <c r="S10" t="s">
        <v>265</v>
      </c>
      <c r="T10" s="619" t="s">
        <v>12</v>
      </c>
      <c r="U10" s="619">
        <v>12</v>
      </c>
      <c r="V10" s="619">
        <v>943.8</v>
      </c>
      <c r="W10" s="619">
        <v>11325.599999999999</v>
      </c>
    </row>
    <row r="11" spans="1:23" ht="27" customHeight="1">
      <c r="A11" s="529" t="s">
        <v>550</v>
      </c>
      <c r="B11" s="530" t="s">
        <v>584</v>
      </c>
      <c r="C11" s="604">
        <f t="shared" si="0"/>
        <v>31164.6796292832</v>
      </c>
      <c r="D11" s="363"/>
      <c r="E11" s="364"/>
      <c r="F11" s="365"/>
      <c r="G11" s="364"/>
      <c r="H11" s="364"/>
      <c r="I11" s="366"/>
      <c r="J11" s="366"/>
      <c r="K11" s="367">
        <f t="shared" si="1"/>
        <v>3.5054268806235962</v>
      </c>
      <c r="L11" s="368"/>
      <c r="M11" s="520">
        <f t="shared" si="2"/>
        <v>80.042307783220096</v>
      </c>
      <c r="P11" s="619" t="s">
        <v>30</v>
      </c>
      <c r="Q11" s="624" t="s">
        <v>605</v>
      </c>
    </row>
    <row r="12" spans="1:23" ht="37.5" customHeight="1">
      <c r="A12" s="640" t="s">
        <v>549</v>
      </c>
      <c r="B12" s="641" t="s">
        <v>607</v>
      </c>
      <c r="C12" s="642">
        <f t="shared" si="0"/>
        <v>31016.570199239737</v>
      </c>
      <c r="D12" s="643"/>
      <c r="E12" s="644"/>
      <c r="F12" s="645"/>
      <c r="G12" s="644"/>
      <c r="H12" s="644"/>
      <c r="I12" s="646"/>
      <c r="J12" s="646"/>
      <c r="K12" s="647">
        <f t="shared" si="1"/>
        <v>3.488767419222929</v>
      </c>
      <c r="L12" s="648"/>
      <c r="M12" s="649">
        <f t="shared" si="2"/>
        <v>83.53107520244302</v>
      </c>
      <c r="P12" s="619" t="s">
        <v>31</v>
      </c>
      <c r="Q12" s="624" t="s">
        <v>698</v>
      </c>
      <c r="R12" t="s">
        <v>252</v>
      </c>
      <c r="S12" t="s">
        <v>330</v>
      </c>
      <c r="T12" s="619" t="s">
        <v>12</v>
      </c>
      <c r="U12" s="619">
        <v>12</v>
      </c>
      <c r="V12" s="619">
        <v>4360.3559999999998</v>
      </c>
      <c r="W12" s="619">
        <v>52324.271999999997</v>
      </c>
    </row>
    <row r="13" spans="1:23" ht="27" customHeight="1">
      <c r="A13" s="640" t="s">
        <v>41</v>
      </c>
      <c r="B13" s="641" t="s">
        <v>613</v>
      </c>
      <c r="C13" s="642">
        <f t="shared" si="0"/>
        <v>23972.146255200001</v>
      </c>
      <c r="D13" s="632"/>
      <c r="E13" s="644"/>
      <c r="F13" s="645"/>
      <c r="G13" s="644"/>
      <c r="H13" s="644"/>
      <c r="I13" s="646"/>
      <c r="J13" s="646"/>
      <c r="K13" s="647">
        <f t="shared" si="1"/>
        <v>2.6964052532809926</v>
      </c>
      <c r="L13" s="648"/>
      <c r="M13" s="649">
        <f t="shared" si="2"/>
        <v>86.227480455724006</v>
      </c>
      <c r="P13" s="619" t="s">
        <v>332</v>
      </c>
      <c r="Q13" s="624" t="s">
        <v>699</v>
      </c>
      <c r="R13" t="s">
        <v>264</v>
      </c>
      <c r="S13" t="s">
        <v>331</v>
      </c>
      <c r="T13" s="619" t="s">
        <v>12</v>
      </c>
      <c r="U13" s="619">
        <v>12</v>
      </c>
      <c r="V13" s="619">
        <v>1815.3175040000003</v>
      </c>
      <c r="W13" s="619">
        <v>21783.810048000003</v>
      </c>
    </row>
    <row r="14" spans="1:23" ht="33" customHeight="1">
      <c r="A14" s="640" t="s">
        <v>332</v>
      </c>
      <c r="B14" s="641" t="s">
        <v>331</v>
      </c>
      <c r="C14" s="642">
        <f t="shared" si="0"/>
        <v>21783.810048000003</v>
      </c>
      <c r="D14" s="650"/>
      <c r="E14" s="644"/>
      <c r="F14" s="645"/>
      <c r="G14" s="644"/>
      <c r="H14" s="644"/>
      <c r="I14" s="646"/>
      <c r="J14" s="646"/>
      <c r="K14" s="647">
        <f t="shared" si="1"/>
        <v>2.4502595313993263</v>
      </c>
      <c r="L14" s="648"/>
      <c r="M14" s="649">
        <f t="shared" si="2"/>
        <v>88.677739987123331</v>
      </c>
      <c r="S14" t="s">
        <v>114</v>
      </c>
      <c r="W14" s="619">
        <v>67572.882047999999</v>
      </c>
    </row>
    <row r="15" spans="1:23" ht="27" customHeight="1">
      <c r="A15" s="640" t="s">
        <v>565</v>
      </c>
      <c r="B15" s="641" t="s">
        <v>265</v>
      </c>
      <c r="C15" s="642">
        <f t="shared" si="0"/>
        <v>11325.599999999999</v>
      </c>
      <c r="D15" s="643"/>
      <c r="E15" s="644"/>
      <c r="F15" s="645"/>
      <c r="G15" s="644"/>
      <c r="H15" s="644"/>
      <c r="I15" s="646"/>
      <c r="J15" s="646"/>
      <c r="K15" s="647">
        <f t="shared" si="1"/>
        <v>1.2739121066364618</v>
      </c>
      <c r="L15" s="648"/>
      <c r="M15" s="649">
        <f t="shared" si="2"/>
        <v>89.95165209375979</v>
      </c>
      <c r="P15" s="619" t="s">
        <v>302</v>
      </c>
      <c r="Q15" s="624" t="s">
        <v>554</v>
      </c>
    </row>
    <row r="16" spans="1:23" ht="27" customHeight="1">
      <c r="A16" s="640" t="s">
        <v>70</v>
      </c>
      <c r="B16" s="641" t="s">
        <v>431</v>
      </c>
      <c r="C16" s="642">
        <f t="shared" si="0"/>
        <v>8601.7828200000004</v>
      </c>
      <c r="D16" s="643"/>
      <c r="E16" s="644"/>
      <c r="F16" s="645"/>
      <c r="G16" s="644"/>
      <c r="H16" s="644"/>
      <c r="I16" s="646"/>
      <c r="J16" s="646"/>
      <c r="K16" s="647">
        <f t="shared" si="1"/>
        <v>0.96753507744009393</v>
      </c>
      <c r="L16" s="648"/>
      <c r="M16" s="649">
        <f t="shared" si="2"/>
        <v>90.91918717119988</v>
      </c>
      <c r="P16" s="619" t="s">
        <v>32</v>
      </c>
      <c r="Q16" s="624" t="s">
        <v>606</v>
      </c>
    </row>
    <row r="17" spans="1:23" ht="33.75" customHeight="1">
      <c r="A17" s="640" t="s">
        <v>63</v>
      </c>
      <c r="B17" s="641" t="s">
        <v>476</v>
      </c>
      <c r="C17" s="642">
        <f t="shared" si="0"/>
        <v>8028.5920000000006</v>
      </c>
      <c r="D17" s="643"/>
      <c r="E17" s="644"/>
      <c r="F17" s="645"/>
      <c r="G17" s="644"/>
      <c r="H17" s="644"/>
      <c r="I17" s="646"/>
      <c r="J17" s="646"/>
      <c r="K17" s="647">
        <f t="shared" si="1"/>
        <v>0.90306213781562539</v>
      </c>
      <c r="L17" s="648"/>
      <c r="M17" s="649">
        <f t="shared" si="2"/>
        <v>91.822249309015504</v>
      </c>
      <c r="P17" s="619" t="s">
        <v>549</v>
      </c>
      <c r="Q17" s="624" t="s">
        <v>700</v>
      </c>
      <c r="R17" t="s">
        <v>602</v>
      </c>
      <c r="S17" t="s">
        <v>607</v>
      </c>
      <c r="T17" s="619" t="s">
        <v>12</v>
      </c>
      <c r="U17" s="619">
        <v>12</v>
      </c>
      <c r="V17" s="410">
        <v>2584.7141832699781</v>
      </c>
      <c r="W17" s="411">
        <v>31016.570199239737</v>
      </c>
    </row>
    <row r="18" spans="1:23" ht="33.75" customHeight="1">
      <c r="A18" s="640" t="s">
        <v>56</v>
      </c>
      <c r="B18" s="641" t="s">
        <v>470</v>
      </c>
      <c r="C18" s="642">
        <f t="shared" si="0"/>
        <v>7399.3919999999998</v>
      </c>
      <c r="D18" s="643"/>
      <c r="E18" s="644"/>
      <c r="F18" s="651"/>
      <c r="G18" s="644"/>
      <c r="H18" s="644"/>
      <c r="I18" s="646"/>
      <c r="J18" s="646"/>
      <c r="K18" s="647">
        <f t="shared" si="1"/>
        <v>0.83228924300248852</v>
      </c>
      <c r="L18" s="648"/>
      <c r="M18" s="649">
        <f t="shared" si="2"/>
        <v>92.654538552017996</v>
      </c>
      <c r="P18" s="619" t="s">
        <v>33</v>
      </c>
      <c r="Q18" s="624" t="s">
        <v>603</v>
      </c>
    </row>
    <row r="19" spans="1:23" ht="33.75" customHeight="1">
      <c r="A19" s="640" t="s">
        <v>58</v>
      </c>
      <c r="B19" s="641" t="s">
        <v>472</v>
      </c>
      <c r="C19" s="642">
        <f t="shared" si="0"/>
        <v>5945.9400000000005</v>
      </c>
      <c r="D19" s="643"/>
      <c r="E19" s="644"/>
      <c r="F19" s="645"/>
      <c r="G19" s="644"/>
      <c r="H19" s="644"/>
      <c r="I19" s="646"/>
      <c r="J19" s="646"/>
      <c r="K19" s="647">
        <f t="shared" si="1"/>
        <v>0.6688038559841426</v>
      </c>
      <c r="L19" s="648"/>
      <c r="M19" s="649">
        <f t="shared" si="2"/>
        <v>93.323342408002134</v>
      </c>
      <c r="P19" s="619" t="s">
        <v>550</v>
      </c>
      <c r="Q19" s="624" t="s">
        <v>701</v>
      </c>
      <c r="R19" t="s">
        <v>635</v>
      </c>
      <c r="S19" t="s">
        <v>584</v>
      </c>
      <c r="T19" s="619" t="s">
        <v>12</v>
      </c>
      <c r="U19" s="619">
        <v>12</v>
      </c>
      <c r="V19" s="619">
        <v>2597.0566357736002</v>
      </c>
      <c r="W19" s="619">
        <v>31164.6796292832</v>
      </c>
    </row>
    <row r="20" spans="1:23" s="53" customFormat="1" ht="33.75" customHeight="1">
      <c r="A20" s="640" t="s">
        <v>64</v>
      </c>
      <c r="B20" s="641" t="s">
        <v>616</v>
      </c>
      <c r="C20" s="642">
        <f t="shared" si="0"/>
        <v>5851.5599999999995</v>
      </c>
      <c r="D20" s="643"/>
      <c r="E20" s="644"/>
      <c r="F20" s="651"/>
      <c r="G20" s="644"/>
      <c r="H20" s="644"/>
      <c r="I20" s="646"/>
      <c r="J20" s="646"/>
      <c r="K20" s="647">
        <f t="shared" si="1"/>
        <v>0.658187921762172</v>
      </c>
      <c r="L20" s="648"/>
      <c r="M20" s="649">
        <f t="shared" si="2"/>
        <v>93.981530329764311</v>
      </c>
      <c r="P20" s="627" t="s">
        <v>551</v>
      </c>
      <c r="Q20" s="625" t="s">
        <v>702</v>
      </c>
      <c r="R20" s="53" t="s">
        <v>589</v>
      </c>
      <c r="S20" s="53" t="s">
        <v>582</v>
      </c>
      <c r="T20" s="627" t="s">
        <v>12</v>
      </c>
      <c r="U20" s="627">
        <v>12</v>
      </c>
      <c r="V20" s="627">
        <v>3940.5656392416408</v>
      </c>
      <c r="W20" s="627">
        <v>47286.787670899692</v>
      </c>
    </row>
    <row r="21" spans="1:23" ht="27" customHeight="1">
      <c r="A21" s="640" t="s">
        <v>535</v>
      </c>
      <c r="B21" s="641" t="s">
        <v>348</v>
      </c>
      <c r="C21" s="642">
        <f t="shared" si="0"/>
        <v>5158.6068599999999</v>
      </c>
      <c r="D21" s="632"/>
      <c r="E21" s="644"/>
      <c r="F21" s="651"/>
      <c r="G21" s="644"/>
      <c r="H21" s="644"/>
      <c r="I21" s="646"/>
      <c r="J21" s="646"/>
      <c r="K21" s="647">
        <f t="shared" si="1"/>
        <v>0.58024402524651275</v>
      </c>
      <c r="L21" s="648"/>
      <c r="M21" s="649">
        <f t="shared" si="2"/>
        <v>94.561774355010826</v>
      </c>
      <c r="P21" s="619" t="s">
        <v>552</v>
      </c>
      <c r="Q21" s="624" t="s">
        <v>703</v>
      </c>
      <c r="R21" t="s">
        <v>116</v>
      </c>
      <c r="S21" t="s">
        <v>591</v>
      </c>
      <c r="T21" s="619" t="s">
        <v>12</v>
      </c>
      <c r="U21" s="619">
        <v>12</v>
      </c>
      <c r="V21" s="619">
        <v>3844.0337165344276</v>
      </c>
      <c r="W21" s="619">
        <v>46128.40459841313</v>
      </c>
    </row>
    <row r="22" spans="1:23" ht="27" customHeight="1">
      <c r="A22" s="640" t="s">
        <v>75</v>
      </c>
      <c r="B22" s="641" t="s">
        <v>378</v>
      </c>
      <c r="C22" s="642">
        <f t="shared" si="0"/>
        <v>5122.3485000000001</v>
      </c>
      <c r="D22" s="643"/>
      <c r="E22" s="644"/>
      <c r="F22" s="651"/>
      <c r="G22" s="644"/>
      <c r="H22" s="644"/>
      <c r="I22" s="646"/>
      <c r="J22" s="646"/>
      <c r="K22" s="647">
        <f t="shared" si="1"/>
        <v>0.57616565732156544</v>
      </c>
      <c r="L22" s="648"/>
      <c r="M22" s="649">
        <f t="shared" si="2"/>
        <v>95.137940012332393</v>
      </c>
      <c r="P22" s="619" t="s">
        <v>553</v>
      </c>
      <c r="Q22" s="624" t="s">
        <v>704</v>
      </c>
      <c r="R22" t="s">
        <v>635</v>
      </c>
      <c r="S22" t="s">
        <v>636</v>
      </c>
      <c r="T22" s="619" t="s">
        <v>12</v>
      </c>
      <c r="U22" s="619">
        <v>12</v>
      </c>
      <c r="V22" s="619">
        <v>3193.1056368640002</v>
      </c>
      <c r="W22" s="619">
        <v>38317.267642368002</v>
      </c>
    </row>
    <row r="23" spans="1:23" ht="27" customHeight="1">
      <c r="A23" s="640" t="s">
        <v>74</v>
      </c>
      <c r="B23" s="641" t="s">
        <v>418</v>
      </c>
      <c r="C23" s="642">
        <f t="shared" si="0"/>
        <v>4094.4582</v>
      </c>
      <c r="D23" s="643"/>
      <c r="E23" s="644"/>
      <c r="F23" s="651"/>
      <c r="G23" s="644"/>
      <c r="H23" s="644"/>
      <c r="I23" s="646"/>
      <c r="J23" s="646"/>
      <c r="K23" s="647">
        <f t="shared" si="1"/>
        <v>0.46054777416621956</v>
      </c>
      <c r="L23" s="648"/>
      <c r="M23" s="649">
        <f t="shared" si="2"/>
        <v>95.598487786498609</v>
      </c>
      <c r="S23" t="s">
        <v>115</v>
      </c>
      <c r="W23" s="619">
        <v>193913.70974020378</v>
      </c>
    </row>
    <row r="24" spans="1:23" ht="27" customHeight="1">
      <c r="A24" s="640" t="s">
        <v>534</v>
      </c>
      <c r="B24" s="641" t="s">
        <v>349</v>
      </c>
      <c r="C24" s="642">
        <f t="shared" si="0"/>
        <v>3873.3506159999997</v>
      </c>
      <c r="D24" s="643"/>
      <c r="E24" s="644"/>
      <c r="F24" s="651"/>
      <c r="G24" s="644"/>
      <c r="H24" s="644"/>
      <c r="I24" s="646"/>
      <c r="J24" s="646"/>
      <c r="K24" s="647">
        <f t="shared" si="1"/>
        <v>0.43567742485786159</v>
      </c>
      <c r="L24" s="648"/>
      <c r="M24" s="649">
        <f t="shared" si="2"/>
        <v>96.034165211356466</v>
      </c>
      <c r="P24" s="619" t="s">
        <v>303</v>
      </c>
      <c r="Q24" s="624" t="s">
        <v>608</v>
      </c>
    </row>
    <row r="25" spans="1:23" ht="75">
      <c r="A25" s="640" t="s">
        <v>61</v>
      </c>
      <c r="B25" s="641" t="s">
        <v>468</v>
      </c>
      <c r="C25" s="642">
        <f t="shared" si="0"/>
        <v>3643.0680000000002</v>
      </c>
      <c r="D25" s="643"/>
      <c r="E25" s="644"/>
      <c r="F25" s="651"/>
      <c r="G25" s="644"/>
      <c r="H25" s="644"/>
      <c r="I25" s="646"/>
      <c r="J25" s="646"/>
      <c r="K25" s="647">
        <f t="shared" si="1"/>
        <v>0.40977506096806199</v>
      </c>
      <c r="L25" s="648"/>
      <c r="M25" s="649">
        <f t="shared" si="2"/>
        <v>96.443940272324525</v>
      </c>
      <c r="P25" s="619" t="s">
        <v>34</v>
      </c>
      <c r="Q25" s="624" t="s">
        <v>705</v>
      </c>
      <c r="R25" t="s">
        <v>635</v>
      </c>
      <c r="S25" t="s">
        <v>609</v>
      </c>
      <c r="T25" s="619" t="s">
        <v>12</v>
      </c>
      <c r="U25" s="619">
        <v>24</v>
      </c>
      <c r="V25" s="619">
        <v>5851.7067231479996</v>
      </c>
      <c r="W25" s="619">
        <v>140440.96135555199</v>
      </c>
    </row>
    <row r="26" spans="1:23" ht="60">
      <c r="A26" s="640" t="s">
        <v>60</v>
      </c>
      <c r="B26" s="641" t="s">
        <v>474</v>
      </c>
      <c r="C26" s="642">
        <f t="shared" si="0"/>
        <v>3133.4160000000002</v>
      </c>
      <c r="D26" s="643"/>
      <c r="E26" s="644"/>
      <c r="F26" s="651"/>
      <c r="G26" s="644"/>
      <c r="H26" s="644"/>
      <c r="I26" s="646"/>
      <c r="J26" s="646"/>
      <c r="K26" s="647">
        <f t="shared" si="1"/>
        <v>0.3524490161694212</v>
      </c>
      <c r="L26" s="648"/>
      <c r="M26" s="649">
        <f t="shared" si="2"/>
        <v>96.796389288493941</v>
      </c>
      <c r="P26" s="619" t="s">
        <v>35</v>
      </c>
      <c r="Q26" s="624" t="s">
        <v>706</v>
      </c>
      <c r="R26" t="s">
        <v>635</v>
      </c>
      <c r="S26" t="s">
        <v>638</v>
      </c>
      <c r="T26" s="619" t="s">
        <v>12</v>
      </c>
      <c r="U26" s="619">
        <v>24</v>
      </c>
      <c r="V26" s="619">
        <v>3365.6047921496001</v>
      </c>
      <c r="W26" s="619">
        <v>80774.515011590411</v>
      </c>
    </row>
    <row r="27" spans="1:23" ht="75">
      <c r="A27" s="640" t="s">
        <v>62</v>
      </c>
      <c r="B27" s="641" t="s">
        <v>475</v>
      </c>
      <c r="C27" s="642">
        <f t="shared" si="0"/>
        <v>2554.5520000000001</v>
      </c>
      <c r="D27" s="643"/>
      <c r="E27" s="644"/>
      <c r="F27" s="645"/>
      <c r="G27" s="644"/>
      <c r="H27" s="644"/>
      <c r="I27" s="646"/>
      <c r="J27" s="646"/>
      <c r="K27" s="647">
        <f t="shared" si="1"/>
        <v>0.28733795294133535</v>
      </c>
      <c r="L27" s="648"/>
      <c r="M27" s="649">
        <f t="shared" si="2"/>
        <v>97.08372724143527</v>
      </c>
      <c r="P27" s="619" t="s">
        <v>555</v>
      </c>
      <c r="Q27" s="624" t="s">
        <v>707</v>
      </c>
      <c r="R27" t="s">
        <v>635</v>
      </c>
      <c r="S27" t="s">
        <v>611</v>
      </c>
      <c r="T27" s="619" t="s">
        <v>12</v>
      </c>
      <c r="U27" s="619">
        <v>24</v>
      </c>
      <c r="V27" s="619">
        <v>7332.2905570200001</v>
      </c>
      <c r="W27" s="619">
        <v>175974.97336847999</v>
      </c>
    </row>
    <row r="28" spans="1:23" ht="50.25" customHeight="1">
      <c r="A28" s="640" t="s">
        <v>73</v>
      </c>
      <c r="B28" s="641" t="s">
        <v>417</v>
      </c>
      <c r="C28" s="642">
        <f t="shared" si="0"/>
        <v>2337.432804</v>
      </c>
      <c r="D28" s="643"/>
      <c r="E28" s="644"/>
      <c r="F28" s="645"/>
      <c r="G28" s="644"/>
      <c r="H28" s="644"/>
      <c r="I28" s="646"/>
      <c r="J28" s="646"/>
      <c r="K28" s="647">
        <f t="shared" si="1"/>
        <v>0.26291622055032954</v>
      </c>
      <c r="L28" s="648"/>
      <c r="M28" s="649">
        <f t="shared" si="2"/>
        <v>97.346643461985593</v>
      </c>
      <c r="P28" s="619" t="s">
        <v>556</v>
      </c>
      <c r="Q28" s="624" t="s">
        <v>708</v>
      </c>
      <c r="R28" t="s">
        <v>635</v>
      </c>
      <c r="S28" t="s">
        <v>637</v>
      </c>
      <c r="T28" s="619" t="s">
        <v>12</v>
      </c>
      <c r="U28" s="619">
        <v>24</v>
      </c>
      <c r="V28" s="619">
        <v>4133.2089043959995</v>
      </c>
      <c r="W28" s="619">
        <v>99197.013705503981</v>
      </c>
    </row>
    <row r="29" spans="1:23" ht="60">
      <c r="A29" s="640" t="s">
        <v>55</v>
      </c>
      <c r="B29" s="641" t="s">
        <v>615</v>
      </c>
      <c r="C29" s="642">
        <f t="shared" si="0"/>
        <v>2227.3679999999999</v>
      </c>
      <c r="D29" s="643"/>
      <c r="E29" s="644"/>
      <c r="F29" s="645"/>
      <c r="G29" s="644"/>
      <c r="H29" s="644"/>
      <c r="I29" s="646"/>
      <c r="J29" s="646"/>
      <c r="K29" s="647">
        <f t="shared" si="1"/>
        <v>0.25053604763850418</v>
      </c>
      <c r="L29" s="648"/>
      <c r="M29" s="649">
        <f t="shared" si="2"/>
        <v>97.597179509624098</v>
      </c>
      <c r="S29" t="s">
        <v>356</v>
      </c>
      <c r="W29" s="619">
        <v>496387.4634411264</v>
      </c>
    </row>
    <row r="30" spans="1:23" ht="90">
      <c r="A30" s="640" t="s">
        <v>59</v>
      </c>
      <c r="B30" s="641" t="s">
        <v>473</v>
      </c>
      <c r="C30" s="642">
        <f t="shared" si="0"/>
        <v>2051.192</v>
      </c>
      <c r="D30" s="643"/>
      <c r="E30" s="644"/>
      <c r="F30" s="645"/>
      <c r="G30" s="644"/>
      <c r="H30" s="644"/>
      <c r="I30" s="646"/>
      <c r="J30" s="646"/>
      <c r="K30" s="647">
        <f t="shared" si="1"/>
        <v>0.23071963709082591</v>
      </c>
      <c r="L30" s="648"/>
      <c r="M30" s="649">
        <f t="shared" si="2"/>
        <v>97.827899146714927</v>
      </c>
      <c r="P30" s="619" t="s">
        <v>304</v>
      </c>
      <c r="Q30" s="624" t="s">
        <v>511</v>
      </c>
    </row>
    <row r="31" spans="1:23" ht="60">
      <c r="A31" s="629" t="s">
        <v>57</v>
      </c>
      <c r="B31" s="630" t="s">
        <v>471</v>
      </c>
      <c r="C31" s="631">
        <f t="shared" si="0"/>
        <v>2026.0240000000001</v>
      </c>
      <c r="D31" s="643"/>
      <c r="E31" s="633"/>
      <c r="F31" s="634"/>
      <c r="G31" s="633"/>
      <c r="H31" s="633"/>
      <c r="I31" s="635"/>
      <c r="J31" s="635"/>
      <c r="K31" s="636">
        <f t="shared" si="1"/>
        <v>0.22788872129830046</v>
      </c>
      <c r="L31" s="637"/>
      <c r="M31" s="638">
        <f t="shared" si="2"/>
        <v>98.055787868013226</v>
      </c>
      <c r="P31" s="619" t="s">
        <v>42</v>
      </c>
      <c r="Q31" s="624" t="s">
        <v>709</v>
      </c>
      <c r="R31" t="s">
        <v>427</v>
      </c>
      <c r="S31" t="s">
        <v>426</v>
      </c>
      <c r="T31" s="619" t="s">
        <v>2</v>
      </c>
      <c r="U31" s="619">
        <v>30</v>
      </c>
      <c r="V31" s="619">
        <v>3.2609719999999998</v>
      </c>
      <c r="W31" s="619">
        <v>97.829159999999987</v>
      </c>
    </row>
    <row r="32" spans="1:23" ht="27" customHeight="1">
      <c r="A32" s="629" t="s">
        <v>525</v>
      </c>
      <c r="B32" s="630" t="s">
        <v>463</v>
      </c>
      <c r="C32" s="631">
        <f t="shared" si="0"/>
        <v>1972.5460000000003</v>
      </c>
      <c r="D32" s="632"/>
      <c r="E32" s="633"/>
      <c r="F32" s="634"/>
      <c r="G32" s="633"/>
      <c r="H32" s="633"/>
      <c r="I32" s="635"/>
      <c r="J32" s="635"/>
      <c r="K32" s="636">
        <f t="shared" si="1"/>
        <v>0.2218734751622278</v>
      </c>
      <c r="L32" s="637"/>
      <c r="M32" s="638">
        <f t="shared" si="2"/>
        <v>98.277661343175453</v>
      </c>
      <c r="P32" s="619" t="s">
        <v>43</v>
      </c>
      <c r="Q32" s="624" t="s">
        <v>710</v>
      </c>
      <c r="R32" t="s">
        <v>420</v>
      </c>
      <c r="S32" t="s">
        <v>419</v>
      </c>
      <c r="T32" s="619" t="s">
        <v>2</v>
      </c>
      <c r="U32" s="619">
        <v>100</v>
      </c>
      <c r="V32" s="619">
        <v>7.2060640000000005</v>
      </c>
      <c r="W32" s="619">
        <v>720.60640000000001</v>
      </c>
    </row>
    <row r="33" spans="1:23" ht="27" customHeight="1">
      <c r="A33" s="629" t="s">
        <v>484</v>
      </c>
      <c r="B33" s="630" t="s">
        <v>383</v>
      </c>
      <c r="C33" s="631">
        <f t="shared" si="0"/>
        <v>1710.3</v>
      </c>
      <c r="D33" s="632"/>
      <c r="E33" s="633"/>
      <c r="F33" s="634"/>
      <c r="G33" s="633"/>
      <c r="H33" s="633"/>
      <c r="I33" s="635"/>
      <c r="J33" s="635"/>
      <c r="K33" s="636">
        <f t="shared" si="1"/>
        <v>0.19237584551638245</v>
      </c>
      <c r="L33" s="637"/>
      <c r="M33" s="638">
        <f t="shared" si="2"/>
        <v>98.470037188691833</v>
      </c>
      <c r="P33" s="619" t="s">
        <v>44</v>
      </c>
      <c r="Q33" s="624" t="s">
        <v>711</v>
      </c>
      <c r="R33" t="s">
        <v>406</v>
      </c>
      <c r="S33" t="s">
        <v>376</v>
      </c>
      <c r="T33" s="619" t="s">
        <v>2</v>
      </c>
      <c r="U33" s="619">
        <v>100</v>
      </c>
      <c r="V33" s="619">
        <v>6.6359640000000004</v>
      </c>
      <c r="W33" s="619">
        <v>663.59640000000002</v>
      </c>
    </row>
    <row r="34" spans="1:23" ht="27" customHeight="1">
      <c r="A34" s="629" t="s">
        <v>96</v>
      </c>
      <c r="B34" s="630" t="s">
        <v>399</v>
      </c>
      <c r="C34" s="631">
        <f t="shared" si="0"/>
        <v>1516.4660000000001</v>
      </c>
      <c r="D34" s="632"/>
      <c r="E34" s="633"/>
      <c r="F34" s="634"/>
      <c r="G34" s="633"/>
      <c r="H34" s="633"/>
      <c r="I34" s="635"/>
      <c r="J34" s="635"/>
      <c r="K34" s="636">
        <f t="shared" si="1"/>
        <v>0.17057324969119245</v>
      </c>
      <c r="L34" s="637"/>
      <c r="M34" s="638">
        <f t="shared" si="2"/>
        <v>98.640610438383021</v>
      </c>
      <c r="P34" s="619" t="s">
        <v>45</v>
      </c>
      <c r="Q34" s="624" t="s">
        <v>712</v>
      </c>
      <c r="R34" t="s">
        <v>406</v>
      </c>
      <c r="S34" t="s">
        <v>438</v>
      </c>
      <c r="T34" s="619" t="s">
        <v>433</v>
      </c>
      <c r="U34" s="619">
        <v>3</v>
      </c>
      <c r="V34" s="619">
        <v>93.074525999999992</v>
      </c>
      <c r="W34" s="619">
        <v>279.22357799999997</v>
      </c>
    </row>
    <row r="35" spans="1:23" ht="27" customHeight="1">
      <c r="A35" s="629" t="s">
        <v>54</v>
      </c>
      <c r="B35" s="630" t="s">
        <v>614</v>
      </c>
      <c r="C35" s="631">
        <f t="shared" ref="C35:C66" si="3">VLOOKUP(A35,$P$3:$W$144, 8, FALSE)</f>
        <v>1352.78</v>
      </c>
      <c r="D35" s="643"/>
      <c r="E35" s="633"/>
      <c r="F35" s="634"/>
      <c r="G35" s="633"/>
      <c r="H35" s="633"/>
      <c r="I35" s="635"/>
      <c r="J35" s="635"/>
      <c r="K35" s="636">
        <f t="shared" ref="K35:K66" si="4">(C35*100)/$C$128</f>
        <v>0.15216172384824408</v>
      </c>
      <c r="L35" s="637"/>
      <c r="M35" s="638">
        <f t="shared" si="2"/>
        <v>98.792772162231259</v>
      </c>
      <c r="P35" s="619" t="s">
        <v>46</v>
      </c>
      <c r="Q35" s="624" t="s">
        <v>713</v>
      </c>
      <c r="R35" t="s">
        <v>406</v>
      </c>
      <c r="S35" t="s">
        <v>351</v>
      </c>
      <c r="T35" s="619" t="s">
        <v>1</v>
      </c>
      <c r="U35" s="619">
        <v>3</v>
      </c>
      <c r="V35" s="619">
        <v>102.61799999999999</v>
      </c>
      <c r="W35" s="619">
        <v>307.85399999999998</v>
      </c>
    </row>
    <row r="36" spans="1:23" ht="27" customHeight="1">
      <c r="A36" s="629" t="s">
        <v>483</v>
      </c>
      <c r="B36" s="630" t="s">
        <v>382</v>
      </c>
      <c r="C36" s="631">
        <f t="shared" si="3"/>
        <v>1254.22</v>
      </c>
      <c r="D36" s="632"/>
      <c r="E36" s="633"/>
      <c r="F36" s="634"/>
      <c r="G36" s="633"/>
      <c r="H36" s="633"/>
      <c r="I36" s="635"/>
      <c r="J36" s="635"/>
      <c r="K36" s="636">
        <f t="shared" si="4"/>
        <v>0.14107562004534713</v>
      </c>
      <c r="L36" s="637"/>
      <c r="M36" s="638">
        <f t="shared" si="2"/>
        <v>98.933847782276601</v>
      </c>
      <c r="P36" s="619" t="s">
        <v>47</v>
      </c>
      <c r="Q36" s="624" t="s">
        <v>714</v>
      </c>
      <c r="R36" t="s">
        <v>406</v>
      </c>
      <c r="S36" t="s">
        <v>443</v>
      </c>
      <c r="T36" s="619" t="s">
        <v>433</v>
      </c>
      <c r="U36" s="619">
        <v>10</v>
      </c>
      <c r="V36" s="619">
        <v>85.515000000000001</v>
      </c>
      <c r="W36" s="619">
        <v>855.15</v>
      </c>
    </row>
    <row r="37" spans="1:23" ht="27" customHeight="1">
      <c r="A37" s="629" t="s">
        <v>71</v>
      </c>
      <c r="B37" s="630" t="s">
        <v>371</v>
      </c>
      <c r="C37" s="631">
        <f t="shared" si="3"/>
        <v>1168.9558440000001</v>
      </c>
      <c r="D37" s="632"/>
      <c r="E37" s="633"/>
      <c r="F37" s="634"/>
      <c r="G37" s="633"/>
      <c r="H37" s="633"/>
      <c r="I37" s="635"/>
      <c r="J37" s="635"/>
      <c r="K37" s="636">
        <f t="shared" si="4"/>
        <v>0.13148504289353707</v>
      </c>
      <c r="L37" s="637"/>
      <c r="M37" s="638">
        <f t="shared" si="2"/>
        <v>99.065332825170131</v>
      </c>
      <c r="P37" s="619" t="s">
        <v>48</v>
      </c>
      <c r="Q37" s="624" t="s">
        <v>715</v>
      </c>
      <c r="R37" t="s">
        <v>406</v>
      </c>
      <c r="S37" t="s">
        <v>380</v>
      </c>
      <c r="T37" s="619" t="s">
        <v>236</v>
      </c>
      <c r="U37" s="619">
        <v>10</v>
      </c>
      <c r="V37" s="619">
        <v>32.586915999999995</v>
      </c>
      <c r="W37" s="619">
        <v>325.86915999999997</v>
      </c>
    </row>
    <row r="38" spans="1:23" ht="27" customHeight="1">
      <c r="A38" s="629" t="s">
        <v>488</v>
      </c>
      <c r="B38" s="630" t="s">
        <v>381</v>
      </c>
      <c r="C38" s="631">
        <f t="shared" si="3"/>
        <v>1140.2</v>
      </c>
      <c r="D38" s="632"/>
      <c r="E38" s="633"/>
      <c r="F38" s="634"/>
      <c r="G38" s="633"/>
      <c r="H38" s="633"/>
      <c r="I38" s="635"/>
      <c r="J38" s="635"/>
      <c r="K38" s="636">
        <f t="shared" si="4"/>
        <v>0.1282505636775883</v>
      </c>
      <c r="L38" s="637"/>
      <c r="M38" s="638">
        <f t="shared" si="2"/>
        <v>99.193583388847713</v>
      </c>
      <c r="P38" s="619" t="s">
        <v>49</v>
      </c>
      <c r="Q38" s="624" t="s">
        <v>716</v>
      </c>
      <c r="R38" t="s">
        <v>406</v>
      </c>
      <c r="S38" t="s">
        <v>366</v>
      </c>
      <c r="T38" s="619" t="s">
        <v>404</v>
      </c>
      <c r="U38" s="619">
        <v>5</v>
      </c>
      <c r="V38" s="619">
        <v>2.9645200000000003</v>
      </c>
      <c r="W38" s="619">
        <v>14.822600000000001</v>
      </c>
    </row>
    <row r="39" spans="1:23" ht="27" customHeight="1">
      <c r="A39" s="629" t="s">
        <v>72</v>
      </c>
      <c r="B39" s="630" t="s">
        <v>372</v>
      </c>
      <c r="C39" s="631">
        <f t="shared" si="3"/>
        <v>1092.8816999999999</v>
      </c>
      <c r="D39" s="632"/>
      <c r="E39" s="633"/>
      <c r="F39" s="634"/>
      <c r="G39" s="633"/>
      <c r="H39" s="633"/>
      <c r="I39" s="635"/>
      <c r="J39" s="635"/>
      <c r="K39" s="636">
        <f t="shared" si="4"/>
        <v>0.12292816528496836</v>
      </c>
      <c r="L39" s="637"/>
      <c r="M39" s="638">
        <f t="shared" si="2"/>
        <v>99.316511554132688</v>
      </c>
      <c r="P39" s="619" t="s">
        <v>50</v>
      </c>
      <c r="Q39" s="624" t="s">
        <v>717</v>
      </c>
      <c r="R39" t="s">
        <v>406</v>
      </c>
      <c r="S39" t="s">
        <v>386</v>
      </c>
      <c r="T39" s="619" t="s">
        <v>404</v>
      </c>
      <c r="U39" s="619">
        <v>5</v>
      </c>
      <c r="V39" s="619">
        <v>5.7808140000000003</v>
      </c>
      <c r="W39" s="619">
        <v>28.904070000000001</v>
      </c>
    </row>
    <row r="40" spans="1:23" ht="27" customHeight="1">
      <c r="A40" s="629" t="s">
        <v>95</v>
      </c>
      <c r="B40" s="630" t="s">
        <v>398</v>
      </c>
      <c r="C40" s="631">
        <f t="shared" si="3"/>
        <v>1005.6564</v>
      </c>
      <c r="D40" s="632"/>
      <c r="E40" s="633"/>
      <c r="F40" s="634"/>
      <c r="G40" s="633"/>
      <c r="H40" s="633"/>
      <c r="I40" s="635"/>
      <c r="J40" s="635"/>
      <c r="K40" s="636">
        <f t="shared" si="4"/>
        <v>0.11311699716363288</v>
      </c>
      <c r="L40" s="637"/>
      <c r="M40" s="638">
        <f t="shared" si="2"/>
        <v>99.429628551296318</v>
      </c>
      <c r="P40" s="619" t="s">
        <v>51</v>
      </c>
      <c r="Q40" s="624" t="s">
        <v>718</v>
      </c>
      <c r="R40" t="s">
        <v>406</v>
      </c>
      <c r="S40" t="s">
        <v>387</v>
      </c>
      <c r="T40" s="619" t="s">
        <v>404</v>
      </c>
      <c r="U40" s="619">
        <v>5</v>
      </c>
      <c r="V40" s="619">
        <v>2.7022740000000001</v>
      </c>
      <c r="W40" s="619">
        <v>13.511369999999999</v>
      </c>
    </row>
    <row r="41" spans="1:23" ht="27" customHeight="1">
      <c r="A41" s="629" t="s">
        <v>485</v>
      </c>
      <c r="B41" s="630" t="s">
        <v>374</v>
      </c>
      <c r="C41" s="631">
        <f t="shared" si="3"/>
        <v>945.54505599999993</v>
      </c>
      <c r="D41" s="632"/>
      <c r="E41" s="633"/>
      <c r="F41" s="634"/>
      <c r="G41" s="633"/>
      <c r="H41" s="633"/>
      <c r="I41" s="635"/>
      <c r="J41" s="635"/>
      <c r="K41" s="636">
        <f t="shared" si="4"/>
        <v>0.10635562744655042</v>
      </c>
      <c r="L41" s="637"/>
      <c r="M41" s="638">
        <f t="shared" si="2"/>
        <v>99.535984178742865</v>
      </c>
      <c r="P41" s="619" t="s">
        <v>52</v>
      </c>
      <c r="Q41" s="624" t="s">
        <v>719</v>
      </c>
      <c r="R41" t="s">
        <v>406</v>
      </c>
      <c r="S41" t="s">
        <v>389</v>
      </c>
      <c r="T41" s="619" t="s">
        <v>404</v>
      </c>
      <c r="U41" s="619">
        <v>5</v>
      </c>
      <c r="V41" s="619">
        <v>4.0591119999999998</v>
      </c>
      <c r="W41" s="619">
        <v>20.295559999999998</v>
      </c>
    </row>
    <row r="42" spans="1:23" ht="27" customHeight="1">
      <c r="A42" s="629" t="s">
        <v>47</v>
      </c>
      <c r="B42" s="630" t="s">
        <v>443</v>
      </c>
      <c r="C42" s="631">
        <f t="shared" si="3"/>
        <v>855.15</v>
      </c>
      <c r="D42" s="632"/>
      <c r="E42" s="633"/>
      <c r="F42" s="634"/>
      <c r="G42" s="633"/>
      <c r="H42" s="633"/>
      <c r="I42" s="635"/>
      <c r="J42" s="635"/>
      <c r="K42" s="636">
        <f t="shared" si="4"/>
        <v>9.6187922758191227E-2</v>
      </c>
      <c r="L42" s="637"/>
      <c r="M42" s="638">
        <f t="shared" si="2"/>
        <v>99.632172101501055</v>
      </c>
      <c r="P42" s="619" t="s">
        <v>53</v>
      </c>
      <c r="Q42" s="624" t="s">
        <v>720</v>
      </c>
      <c r="R42" t="s">
        <v>406</v>
      </c>
      <c r="S42" t="s">
        <v>388</v>
      </c>
      <c r="T42" s="619" t="s">
        <v>404</v>
      </c>
      <c r="U42" s="619">
        <v>5</v>
      </c>
      <c r="V42" s="619">
        <v>6.2710999999999997</v>
      </c>
      <c r="W42" s="619">
        <v>31.355499999999999</v>
      </c>
    </row>
    <row r="43" spans="1:23" ht="27" customHeight="1">
      <c r="A43" s="629" t="s">
        <v>495</v>
      </c>
      <c r="B43" s="630" t="s">
        <v>359</v>
      </c>
      <c r="C43" s="631">
        <f t="shared" si="3"/>
        <v>828.64035000000001</v>
      </c>
      <c r="D43" s="632"/>
      <c r="E43" s="633"/>
      <c r="F43" s="634"/>
      <c r="G43" s="633"/>
      <c r="H43" s="633"/>
      <c r="I43" s="635"/>
      <c r="J43" s="635"/>
      <c r="K43" s="636">
        <f t="shared" si="4"/>
        <v>9.3206097152687295E-2</v>
      </c>
      <c r="L43" s="637"/>
      <c r="M43" s="638">
        <f t="shared" si="2"/>
        <v>99.725378198653743</v>
      </c>
      <c r="P43" s="619" t="s">
        <v>520</v>
      </c>
      <c r="Q43" s="624" t="s">
        <v>721</v>
      </c>
      <c r="R43" t="s">
        <v>406</v>
      </c>
      <c r="S43" t="s">
        <v>444</v>
      </c>
      <c r="T43" s="619" t="s">
        <v>433</v>
      </c>
      <c r="U43" s="619">
        <v>150</v>
      </c>
      <c r="V43" s="619">
        <v>0.136824</v>
      </c>
      <c r="W43" s="619">
        <v>20.523600000000002</v>
      </c>
    </row>
    <row r="44" spans="1:23" ht="27" customHeight="1">
      <c r="A44" s="629" t="s">
        <v>523</v>
      </c>
      <c r="B44" s="630" t="s">
        <v>430</v>
      </c>
      <c r="C44" s="631">
        <f t="shared" si="3"/>
        <v>821.04661800000008</v>
      </c>
      <c r="D44" s="632"/>
      <c r="E44" s="633"/>
      <c r="F44" s="634"/>
      <c r="G44" s="633"/>
      <c r="H44" s="633"/>
      <c r="I44" s="635"/>
      <c r="J44" s="635"/>
      <c r="K44" s="636">
        <f t="shared" si="4"/>
        <v>9.2351948398594563E-2</v>
      </c>
      <c r="L44" s="637"/>
      <c r="M44" s="638">
        <f t="shared" si="2"/>
        <v>99.817730147052345</v>
      </c>
      <c r="P44" s="619" t="s">
        <v>521</v>
      </c>
      <c r="Q44" s="624" t="s">
        <v>722</v>
      </c>
      <c r="R44" t="s">
        <v>406</v>
      </c>
      <c r="S44" t="s">
        <v>445</v>
      </c>
      <c r="T44" s="619" t="s">
        <v>235</v>
      </c>
      <c r="U44" s="619">
        <v>150</v>
      </c>
      <c r="V44" s="619">
        <v>0.19383400000000001</v>
      </c>
      <c r="W44" s="619">
        <v>29.075100000000003</v>
      </c>
    </row>
    <row r="45" spans="1:23" ht="27" customHeight="1">
      <c r="A45" s="629" t="s">
        <v>494</v>
      </c>
      <c r="B45" s="630" t="s">
        <v>360</v>
      </c>
      <c r="C45" s="631">
        <f t="shared" si="3"/>
        <v>813.76073999999994</v>
      </c>
      <c r="D45" s="632"/>
      <c r="E45" s="633"/>
      <c r="F45" s="634"/>
      <c r="G45" s="633"/>
      <c r="H45" s="633"/>
      <c r="I45" s="635"/>
      <c r="J45" s="635"/>
      <c r="K45" s="636">
        <f t="shared" si="4"/>
        <v>9.1532427296694766E-2</v>
      </c>
      <c r="L45" s="637"/>
      <c r="M45" s="638">
        <f t="shared" si="2"/>
        <v>99.909262574349043</v>
      </c>
      <c r="P45" s="619" t="s">
        <v>522</v>
      </c>
      <c r="Q45" s="624" t="s">
        <v>723</v>
      </c>
      <c r="R45" t="s">
        <v>406</v>
      </c>
      <c r="S45" t="s">
        <v>446</v>
      </c>
      <c r="T45" s="619" t="s">
        <v>235</v>
      </c>
      <c r="U45" s="619">
        <v>150</v>
      </c>
      <c r="V45" s="619">
        <v>0.45608000000000004</v>
      </c>
      <c r="W45" s="619">
        <v>68.412000000000006</v>
      </c>
    </row>
    <row r="46" spans="1:23" ht="27" customHeight="1">
      <c r="A46" s="629" t="s">
        <v>542</v>
      </c>
      <c r="B46" s="630" t="s">
        <v>379</v>
      </c>
      <c r="C46" s="631">
        <f t="shared" si="3"/>
        <v>742.27020000000005</v>
      </c>
      <c r="D46" s="632"/>
      <c r="E46" s="633"/>
      <c r="F46" s="634"/>
      <c r="G46" s="633"/>
      <c r="H46" s="633"/>
      <c r="I46" s="635"/>
      <c r="J46" s="635"/>
      <c r="K46" s="636">
        <f t="shared" si="4"/>
        <v>8.349111695410999E-2</v>
      </c>
      <c r="L46" s="637"/>
      <c r="M46" s="638">
        <f t="shared" si="2"/>
        <v>99.99275369130315</v>
      </c>
      <c r="P46" s="619" t="s">
        <v>523</v>
      </c>
      <c r="Q46" s="624" t="s">
        <v>724</v>
      </c>
      <c r="R46" t="s">
        <v>406</v>
      </c>
      <c r="S46" t="s">
        <v>430</v>
      </c>
      <c r="T46" s="619" t="s">
        <v>1</v>
      </c>
      <c r="U46" s="619">
        <v>27</v>
      </c>
      <c r="V46" s="619">
        <v>30.409134000000002</v>
      </c>
      <c r="W46" s="619">
        <v>821.04661800000008</v>
      </c>
    </row>
    <row r="47" spans="1:23" ht="27" customHeight="1">
      <c r="A47" s="629" t="s">
        <v>43</v>
      </c>
      <c r="B47" s="630" t="s">
        <v>419</v>
      </c>
      <c r="C47" s="631">
        <f t="shared" si="3"/>
        <v>720.60640000000001</v>
      </c>
      <c r="D47" s="632"/>
      <c r="E47" s="633"/>
      <c r="F47" s="634"/>
      <c r="G47" s="633"/>
      <c r="H47" s="633"/>
      <c r="I47" s="635"/>
      <c r="J47" s="635"/>
      <c r="K47" s="636">
        <f t="shared" si="4"/>
        <v>8.1054356244235806E-2</v>
      </c>
      <c r="L47" s="637"/>
      <c r="M47" s="638">
        <f t="shared" si="2"/>
        <v>100.07380804754739</v>
      </c>
      <c r="P47" s="619" t="s">
        <v>524</v>
      </c>
      <c r="Q47" s="624" t="s">
        <v>725</v>
      </c>
      <c r="R47" t="s">
        <v>406</v>
      </c>
      <c r="S47" t="s">
        <v>434</v>
      </c>
      <c r="T47" s="619" t="s">
        <v>433</v>
      </c>
      <c r="U47" s="619">
        <v>30</v>
      </c>
      <c r="V47" s="619">
        <v>20.649021999999999</v>
      </c>
      <c r="W47" s="619">
        <v>619.47065999999995</v>
      </c>
    </row>
    <row r="48" spans="1:23" ht="27" customHeight="1">
      <c r="A48" s="629" t="s">
        <v>539</v>
      </c>
      <c r="B48" s="630" t="s">
        <v>350</v>
      </c>
      <c r="C48" s="631">
        <f t="shared" si="3"/>
        <v>701.22299999999996</v>
      </c>
      <c r="D48" s="632"/>
      <c r="E48" s="633"/>
      <c r="F48" s="634"/>
      <c r="G48" s="633"/>
      <c r="H48" s="633"/>
      <c r="I48" s="635"/>
      <c r="J48" s="635"/>
      <c r="K48" s="636">
        <f t="shared" si="4"/>
        <v>7.8874096661716783E-2</v>
      </c>
      <c r="L48" s="637"/>
      <c r="M48" s="638">
        <f t="shared" si="2"/>
        <v>100.15268214420911</v>
      </c>
      <c r="P48" s="619" t="s">
        <v>525</v>
      </c>
      <c r="Q48" s="624" t="s">
        <v>726</v>
      </c>
      <c r="R48" t="s">
        <v>406</v>
      </c>
      <c r="S48" t="s">
        <v>463</v>
      </c>
      <c r="T48" s="619" t="s">
        <v>236</v>
      </c>
      <c r="U48" s="619">
        <v>100</v>
      </c>
      <c r="V48" s="619">
        <v>19.725460000000002</v>
      </c>
      <c r="W48" s="619">
        <v>1972.5460000000003</v>
      </c>
    </row>
    <row r="49" spans="1:23" ht="27" customHeight="1">
      <c r="A49" s="629" t="s">
        <v>44</v>
      </c>
      <c r="B49" s="630" t="s">
        <v>376</v>
      </c>
      <c r="C49" s="631">
        <f t="shared" si="3"/>
        <v>663.59640000000002</v>
      </c>
      <c r="D49" s="632"/>
      <c r="E49" s="633"/>
      <c r="F49" s="634"/>
      <c r="G49" s="633"/>
      <c r="H49" s="633"/>
      <c r="I49" s="635"/>
      <c r="J49" s="635"/>
      <c r="K49" s="636">
        <f t="shared" si="4"/>
        <v>7.4641828060356394E-2</v>
      </c>
      <c r="L49" s="637"/>
      <c r="M49" s="638">
        <f t="shared" si="2"/>
        <v>100.22732397226946</v>
      </c>
      <c r="P49" s="619" t="s">
        <v>526</v>
      </c>
      <c r="Q49" s="624" t="s">
        <v>727</v>
      </c>
      <c r="R49" t="s">
        <v>406</v>
      </c>
      <c r="S49" t="s">
        <v>346</v>
      </c>
      <c r="T49" s="619" t="s">
        <v>236</v>
      </c>
      <c r="U49" s="619">
        <v>20</v>
      </c>
      <c r="V49" s="619">
        <v>15.039237999999999</v>
      </c>
      <c r="W49" s="619">
        <v>300.78476000000001</v>
      </c>
    </row>
    <row r="50" spans="1:23" ht="27" customHeight="1">
      <c r="A50" s="629" t="s">
        <v>492</v>
      </c>
      <c r="B50" s="630" t="s">
        <v>455</v>
      </c>
      <c r="C50" s="631">
        <f t="shared" si="3"/>
        <v>638.62602000000004</v>
      </c>
      <c r="D50" s="632"/>
      <c r="E50" s="633"/>
      <c r="F50" s="634"/>
      <c r="G50" s="633"/>
      <c r="H50" s="633"/>
      <c r="I50" s="635"/>
      <c r="J50" s="635"/>
      <c r="K50" s="636">
        <f t="shared" si="4"/>
        <v>7.1833140715817215E-2</v>
      </c>
      <c r="L50" s="637"/>
      <c r="M50" s="638">
        <f t="shared" si="2"/>
        <v>100.29915711298527</v>
      </c>
      <c r="P50" s="619" t="s">
        <v>527</v>
      </c>
      <c r="Q50" s="624" t="s">
        <v>728</v>
      </c>
      <c r="R50" t="s">
        <v>406</v>
      </c>
      <c r="S50" t="s">
        <v>447</v>
      </c>
      <c r="T50" s="619" t="s">
        <v>235</v>
      </c>
      <c r="U50" s="619">
        <v>5</v>
      </c>
      <c r="V50" s="619">
        <v>28.425186</v>
      </c>
      <c r="W50" s="619">
        <v>142.12593000000001</v>
      </c>
    </row>
    <row r="51" spans="1:23" ht="27" customHeight="1">
      <c r="A51" s="629" t="s">
        <v>490</v>
      </c>
      <c r="B51" s="630" t="s">
        <v>369</v>
      </c>
      <c r="C51" s="631">
        <f t="shared" si="3"/>
        <v>635.37644999999998</v>
      </c>
      <c r="D51" s="632"/>
      <c r="E51" s="633"/>
      <c r="F51" s="634"/>
      <c r="G51" s="633"/>
      <c r="H51" s="633"/>
      <c r="I51" s="635"/>
      <c r="J51" s="635"/>
      <c r="K51" s="636">
        <f t="shared" si="4"/>
        <v>7.1467626609336074E-2</v>
      </c>
      <c r="L51" s="637"/>
      <c r="M51" s="638">
        <f t="shared" si="2"/>
        <v>100.3706247395946</v>
      </c>
      <c r="P51" s="619" t="s">
        <v>528</v>
      </c>
      <c r="Q51" s="624" t="s">
        <v>729</v>
      </c>
      <c r="R51" t="s">
        <v>406</v>
      </c>
      <c r="S51" t="s">
        <v>354</v>
      </c>
      <c r="T51" s="619" t="s">
        <v>235</v>
      </c>
      <c r="U51" s="619">
        <v>8</v>
      </c>
      <c r="V51" s="619">
        <v>40.385884000000004</v>
      </c>
      <c r="W51" s="619">
        <v>323.08707200000003</v>
      </c>
    </row>
    <row r="52" spans="1:23" ht="27" customHeight="1">
      <c r="A52" s="629" t="s">
        <v>489</v>
      </c>
      <c r="B52" s="630" t="s">
        <v>385</v>
      </c>
      <c r="C52" s="631">
        <f t="shared" si="3"/>
        <v>633.8371800000001</v>
      </c>
      <c r="D52" s="632"/>
      <c r="E52" s="633"/>
      <c r="F52" s="634"/>
      <c r="G52" s="633"/>
      <c r="H52" s="633"/>
      <c r="I52" s="635"/>
      <c r="J52" s="635"/>
      <c r="K52" s="636">
        <f t="shared" si="4"/>
        <v>7.1294488348371349E-2</v>
      </c>
      <c r="L52" s="637"/>
      <c r="M52" s="638">
        <f t="shared" si="2"/>
        <v>100.44191922794298</v>
      </c>
      <c r="P52" s="619" t="s">
        <v>529</v>
      </c>
      <c r="Q52" s="624" t="s">
        <v>730</v>
      </c>
      <c r="R52" t="s">
        <v>406</v>
      </c>
      <c r="S52" t="s">
        <v>448</v>
      </c>
      <c r="T52" s="619" t="s">
        <v>235</v>
      </c>
      <c r="U52" s="619">
        <v>25</v>
      </c>
      <c r="V52" s="619">
        <v>9.0873939999999997</v>
      </c>
      <c r="W52" s="619">
        <v>227.18484999999998</v>
      </c>
    </row>
    <row r="53" spans="1:23" ht="27" customHeight="1">
      <c r="A53" s="629" t="s">
        <v>491</v>
      </c>
      <c r="B53" s="630" t="s">
        <v>454</v>
      </c>
      <c r="C53" s="631">
        <f t="shared" si="3"/>
        <v>633.8371800000001</v>
      </c>
      <c r="D53" s="632"/>
      <c r="E53" s="633"/>
      <c r="F53" s="634"/>
      <c r="G53" s="633"/>
      <c r="H53" s="633"/>
      <c r="I53" s="635"/>
      <c r="J53" s="635"/>
      <c r="K53" s="636">
        <f t="shared" si="4"/>
        <v>7.1294488348371349E-2</v>
      </c>
      <c r="L53" s="637"/>
      <c r="M53" s="638">
        <f t="shared" si="2"/>
        <v>100.51321371629135</v>
      </c>
      <c r="P53" s="619" t="s">
        <v>530</v>
      </c>
      <c r="Q53" s="624" t="s">
        <v>731</v>
      </c>
      <c r="R53" t="s">
        <v>406</v>
      </c>
      <c r="S53" t="s">
        <v>355</v>
      </c>
      <c r="T53" s="619" t="s">
        <v>433</v>
      </c>
      <c r="U53" s="619">
        <v>4</v>
      </c>
      <c r="V53" s="619">
        <v>24.252054000000001</v>
      </c>
      <c r="W53" s="619">
        <v>97.008216000000004</v>
      </c>
    </row>
    <row r="54" spans="1:23" ht="27" customHeight="1">
      <c r="A54" s="629" t="s">
        <v>493</v>
      </c>
      <c r="B54" s="630" t="s">
        <v>370</v>
      </c>
      <c r="C54" s="631">
        <f t="shared" si="3"/>
        <v>633.8371800000001</v>
      </c>
      <c r="D54" s="632"/>
      <c r="E54" s="633"/>
      <c r="F54" s="634"/>
      <c r="G54" s="633"/>
      <c r="H54" s="633"/>
      <c r="I54" s="635"/>
      <c r="J54" s="635"/>
      <c r="K54" s="636">
        <f t="shared" si="4"/>
        <v>7.1294488348371349E-2</v>
      </c>
      <c r="L54" s="637"/>
      <c r="M54" s="638">
        <f t="shared" si="2"/>
        <v>100.58450820463972</v>
      </c>
      <c r="P54" s="619" t="s">
        <v>531</v>
      </c>
      <c r="Q54" s="624" t="s">
        <v>732</v>
      </c>
      <c r="R54" t="s">
        <v>406</v>
      </c>
      <c r="S54" t="s">
        <v>353</v>
      </c>
      <c r="T54" s="619" t="s">
        <v>235</v>
      </c>
      <c r="U54" s="619">
        <v>8</v>
      </c>
      <c r="V54" s="619">
        <v>5.2107140000000003</v>
      </c>
      <c r="W54" s="619">
        <v>41.685712000000002</v>
      </c>
    </row>
    <row r="55" spans="1:23" ht="27" customHeight="1">
      <c r="A55" s="629" t="s">
        <v>524</v>
      </c>
      <c r="B55" s="630" t="s">
        <v>434</v>
      </c>
      <c r="C55" s="631">
        <f t="shared" si="3"/>
        <v>619.47065999999995</v>
      </c>
      <c r="D55" s="632"/>
      <c r="E55" s="633"/>
      <c r="F55" s="634"/>
      <c r="G55" s="633"/>
      <c r="H55" s="633"/>
      <c r="I55" s="635"/>
      <c r="J55" s="635"/>
      <c r="K55" s="636">
        <f t="shared" si="4"/>
        <v>6.9678531246033709E-2</v>
      </c>
      <c r="L55" s="637"/>
      <c r="M55" s="638">
        <f t="shared" si="2"/>
        <v>100.65418673588576</v>
      </c>
      <c r="P55" s="619" t="s">
        <v>532</v>
      </c>
      <c r="Q55" s="624" t="s">
        <v>733</v>
      </c>
      <c r="R55" t="s">
        <v>406</v>
      </c>
      <c r="S55" t="s">
        <v>421</v>
      </c>
      <c r="T55" s="619" t="s">
        <v>235</v>
      </c>
      <c r="U55" s="619">
        <v>6</v>
      </c>
      <c r="V55" s="619">
        <v>4.7660359999999997</v>
      </c>
      <c r="W55" s="619">
        <v>28.596215999999998</v>
      </c>
    </row>
    <row r="56" spans="1:23" ht="27" customHeight="1">
      <c r="A56" s="629" t="s">
        <v>537</v>
      </c>
      <c r="B56" s="630" t="s">
        <v>407</v>
      </c>
      <c r="C56" s="631">
        <f t="shared" si="3"/>
        <v>593.24606000000006</v>
      </c>
      <c r="D56" s="632"/>
      <c r="E56" s="633"/>
      <c r="F56" s="634"/>
      <c r="G56" s="633"/>
      <c r="H56" s="633"/>
      <c r="I56" s="635"/>
      <c r="J56" s="635"/>
      <c r="K56" s="636">
        <f t="shared" si="4"/>
        <v>6.6728768281449205E-2</v>
      </c>
      <c r="L56" s="637"/>
      <c r="M56" s="638">
        <f t="shared" si="2"/>
        <v>100.72091550416721</v>
      </c>
      <c r="P56" s="619" t="s">
        <v>533</v>
      </c>
      <c r="Q56" s="624" t="s">
        <v>734</v>
      </c>
      <c r="R56" t="s">
        <v>406</v>
      </c>
      <c r="S56" t="s">
        <v>352</v>
      </c>
      <c r="T56" s="619" t="s">
        <v>235</v>
      </c>
      <c r="U56" s="619">
        <v>4</v>
      </c>
      <c r="V56" s="619">
        <v>4.8458500000000004</v>
      </c>
      <c r="W56" s="619">
        <v>19.383400000000002</v>
      </c>
    </row>
    <row r="57" spans="1:23" ht="27" customHeight="1">
      <c r="A57" s="629" t="s">
        <v>487</v>
      </c>
      <c r="B57" s="630" t="s">
        <v>400</v>
      </c>
      <c r="C57" s="631">
        <f t="shared" si="3"/>
        <v>570.1</v>
      </c>
      <c r="D57" s="632"/>
      <c r="E57" s="633"/>
      <c r="F57" s="634"/>
      <c r="G57" s="633"/>
      <c r="H57" s="633"/>
      <c r="I57" s="635"/>
      <c r="J57" s="635"/>
      <c r="K57" s="636">
        <f t="shared" si="4"/>
        <v>6.4125281838794151E-2</v>
      </c>
      <c r="L57" s="637"/>
      <c r="M57" s="638">
        <f t="shared" si="2"/>
        <v>100.78504078600601</v>
      </c>
      <c r="P57" s="619" t="s">
        <v>534</v>
      </c>
      <c r="Q57" s="624" t="s">
        <v>735</v>
      </c>
      <c r="R57" t="s">
        <v>406</v>
      </c>
      <c r="S57" t="s">
        <v>349</v>
      </c>
      <c r="T57" s="619" t="s">
        <v>408</v>
      </c>
      <c r="U57" s="619">
        <v>6</v>
      </c>
      <c r="V57" s="619">
        <v>645.55843599999992</v>
      </c>
      <c r="W57" s="619">
        <v>3873.3506159999997</v>
      </c>
    </row>
    <row r="58" spans="1:23" ht="27" customHeight="1">
      <c r="A58" s="629" t="s">
        <v>87</v>
      </c>
      <c r="B58" s="630" t="s">
        <v>375</v>
      </c>
      <c r="C58" s="631">
        <f t="shared" si="3"/>
        <v>549.57640000000004</v>
      </c>
      <c r="D58" s="632"/>
      <c r="E58" s="633"/>
      <c r="F58" s="634"/>
      <c r="G58" s="633"/>
      <c r="H58" s="633"/>
      <c r="I58" s="635"/>
      <c r="J58" s="635"/>
      <c r="K58" s="636">
        <f t="shared" si="4"/>
        <v>6.1816771692597569E-2</v>
      </c>
      <c r="L58" s="637"/>
      <c r="M58" s="638">
        <f t="shared" si="2"/>
        <v>100.8468575576986</v>
      </c>
      <c r="P58" s="619" t="s">
        <v>535</v>
      </c>
      <c r="Q58" s="624" t="s">
        <v>736</v>
      </c>
      <c r="R58" t="s">
        <v>416</v>
      </c>
      <c r="S58" t="s">
        <v>348</v>
      </c>
      <c r="T58" s="619" t="s">
        <v>408</v>
      </c>
      <c r="U58" s="619">
        <v>10</v>
      </c>
      <c r="V58" s="619">
        <v>515.86068599999999</v>
      </c>
      <c r="W58" s="619">
        <v>5158.6068599999999</v>
      </c>
    </row>
    <row r="59" spans="1:23" ht="27" customHeight="1">
      <c r="A59" s="629" t="s">
        <v>76</v>
      </c>
      <c r="B59" s="630" t="s">
        <v>429</v>
      </c>
      <c r="C59" s="631">
        <f t="shared" si="3"/>
        <v>542.84922000000006</v>
      </c>
      <c r="D59" s="632"/>
      <c r="E59" s="633"/>
      <c r="F59" s="634"/>
      <c r="G59" s="633"/>
      <c r="H59" s="633"/>
      <c r="I59" s="635"/>
      <c r="J59" s="635"/>
      <c r="K59" s="636">
        <f t="shared" si="4"/>
        <v>6.1060093366899791E-2</v>
      </c>
      <c r="L59" s="637"/>
      <c r="M59" s="638">
        <f t="shared" si="2"/>
        <v>100.9079176510655</v>
      </c>
      <c r="P59" s="619" t="s">
        <v>536</v>
      </c>
      <c r="Q59" s="624" t="s">
        <v>737</v>
      </c>
      <c r="R59" t="s">
        <v>406</v>
      </c>
      <c r="S59" t="s">
        <v>397</v>
      </c>
      <c r="T59" s="619" t="s">
        <v>232</v>
      </c>
      <c r="U59" s="619">
        <v>6</v>
      </c>
      <c r="V59" s="619">
        <v>41.936556000000003</v>
      </c>
      <c r="W59" s="619">
        <v>251.61933600000003</v>
      </c>
    </row>
    <row r="60" spans="1:23" ht="27" customHeight="1">
      <c r="A60" s="629" t="s">
        <v>482</v>
      </c>
      <c r="B60" s="630" t="s">
        <v>405</v>
      </c>
      <c r="C60" s="631">
        <f t="shared" si="3"/>
        <v>536.00801999999999</v>
      </c>
      <c r="D60" s="632"/>
      <c r="E60" s="633"/>
      <c r="F60" s="634"/>
      <c r="G60" s="633"/>
      <c r="H60" s="633"/>
      <c r="I60" s="635"/>
      <c r="J60" s="635"/>
      <c r="K60" s="636">
        <f t="shared" si="4"/>
        <v>6.0290589984834254E-2</v>
      </c>
      <c r="L60" s="637"/>
      <c r="M60" s="638">
        <f t="shared" si="2"/>
        <v>100.96820824105033</v>
      </c>
      <c r="P60" s="619" t="s">
        <v>537</v>
      </c>
      <c r="Q60" s="624" t="s">
        <v>738</v>
      </c>
      <c r="R60" t="s">
        <v>406</v>
      </c>
      <c r="S60" t="s">
        <v>407</v>
      </c>
      <c r="T60" s="619" t="s">
        <v>232</v>
      </c>
      <c r="U60" s="619">
        <v>10</v>
      </c>
      <c r="V60" s="619">
        <v>59.324606000000003</v>
      </c>
      <c r="W60" s="619">
        <v>593.24606000000006</v>
      </c>
    </row>
    <row r="61" spans="1:23" ht="27" customHeight="1">
      <c r="A61" s="629" t="s">
        <v>88</v>
      </c>
      <c r="B61" s="630" t="s">
        <v>435</v>
      </c>
      <c r="C61" s="631">
        <f t="shared" si="3"/>
        <v>488.91775999999999</v>
      </c>
      <c r="D61" s="632"/>
      <c r="E61" s="633"/>
      <c r="F61" s="634"/>
      <c r="G61" s="633"/>
      <c r="H61" s="633"/>
      <c r="I61" s="635"/>
      <c r="J61" s="635"/>
      <c r="K61" s="636">
        <f t="shared" si="4"/>
        <v>5.4993841704949857E-2</v>
      </c>
      <c r="L61" s="637"/>
      <c r="M61" s="638">
        <f t="shared" si="2"/>
        <v>101.02320208275529</v>
      </c>
      <c r="P61" s="619" t="s">
        <v>538</v>
      </c>
      <c r="Q61" s="624" t="s">
        <v>739</v>
      </c>
      <c r="R61" t="s">
        <v>406</v>
      </c>
      <c r="S61" t="s">
        <v>347</v>
      </c>
      <c r="T61" s="619" t="s">
        <v>236</v>
      </c>
      <c r="U61" s="619">
        <v>10</v>
      </c>
      <c r="V61" s="619">
        <v>30.523153999999998</v>
      </c>
      <c r="W61" s="619">
        <v>305.23154</v>
      </c>
    </row>
    <row r="62" spans="1:23" ht="27" customHeight="1">
      <c r="A62" s="629" t="s">
        <v>507</v>
      </c>
      <c r="B62" s="630" t="s">
        <v>394</v>
      </c>
      <c r="C62" s="631">
        <f t="shared" si="3"/>
        <v>456.08</v>
      </c>
      <c r="D62" s="652"/>
      <c r="E62" s="633"/>
      <c r="F62" s="634"/>
      <c r="G62" s="633"/>
      <c r="H62" s="633"/>
      <c r="I62" s="635"/>
      <c r="J62" s="635"/>
      <c r="K62" s="636">
        <f t="shared" si="4"/>
        <v>5.130022547103532E-2</v>
      </c>
      <c r="L62" s="637"/>
      <c r="M62" s="638">
        <f t="shared" si="2"/>
        <v>101.07450230822633</v>
      </c>
      <c r="P62" s="619" t="s">
        <v>539</v>
      </c>
      <c r="Q62" s="624" t="s">
        <v>740</v>
      </c>
      <c r="R62" t="s">
        <v>406</v>
      </c>
      <c r="S62" t="s">
        <v>350</v>
      </c>
      <c r="T62" s="619" t="s">
        <v>1</v>
      </c>
      <c r="U62" s="619">
        <v>3</v>
      </c>
      <c r="V62" s="619">
        <v>233.74099999999999</v>
      </c>
      <c r="W62" s="619">
        <v>701.22299999999996</v>
      </c>
    </row>
    <row r="63" spans="1:23" ht="27" customHeight="1">
      <c r="A63" s="629" t="s">
        <v>48</v>
      </c>
      <c r="B63" s="630" t="s">
        <v>380</v>
      </c>
      <c r="C63" s="631">
        <f t="shared" si="3"/>
        <v>325.86915999999997</v>
      </c>
      <c r="D63" s="632"/>
      <c r="E63" s="633"/>
      <c r="F63" s="634"/>
      <c r="G63" s="633"/>
      <c r="H63" s="633"/>
      <c r="I63" s="635"/>
      <c r="J63" s="635"/>
      <c r="K63" s="636">
        <f t="shared" si="4"/>
        <v>3.665401109905473E-2</v>
      </c>
      <c r="L63" s="637"/>
      <c r="M63" s="638">
        <f t="shared" si="2"/>
        <v>101.11115631932539</v>
      </c>
      <c r="P63" s="619" t="s">
        <v>540</v>
      </c>
      <c r="Q63" s="624" t="s">
        <v>741</v>
      </c>
      <c r="R63" t="s">
        <v>406</v>
      </c>
      <c r="S63" t="s">
        <v>437</v>
      </c>
      <c r="T63" s="619" t="s">
        <v>232</v>
      </c>
      <c r="U63" s="619">
        <v>3</v>
      </c>
      <c r="V63" s="619">
        <v>108.11376399999999</v>
      </c>
      <c r="W63" s="619">
        <v>324.34129199999995</v>
      </c>
    </row>
    <row r="64" spans="1:23" ht="27" customHeight="1">
      <c r="A64" s="629" t="s">
        <v>540</v>
      </c>
      <c r="B64" s="630" t="s">
        <v>437</v>
      </c>
      <c r="C64" s="631">
        <f t="shared" si="3"/>
        <v>324.34129199999995</v>
      </c>
      <c r="D64" s="632"/>
      <c r="E64" s="633"/>
      <c r="F64" s="634"/>
      <c r="G64" s="633"/>
      <c r="H64" s="633"/>
      <c r="I64" s="635"/>
      <c r="J64" s="635"/>
      <c r="K64" s="636">
        <f t="shared" si="4"/>
        <v>3.6482155343726765E-2</v>
      </c>
      <c r="L64" s="637"/>
      <c r="M64" s="638">
        <f t="shared" si="2"/>
        <v>101.14763847466912</v>
      </c>
      <c r="P64" s="619" t="s">
        <v>541</v>
      </c>
      <c r="Q64" s="624" t="s">
        <v>742</v>
      </c>
      <c r="R64" t="s">
        <v>425</v>
      </c>
      <c r="S64" t="s">
        <v>345</v>
      </c>
      <c r="T64" s="619" t="s">
        <v>232</v>
      </c>
      <c r="U64" s="619">
        <v>4</v>
      </c>
      <c r="V64" s="619">
        <v>13.864832</v>
      </c>
      <c r="W64" s="619">
        <v>55.459327999999999</v>
      </c>
    </row>
    <row r="65" spans="1:23" ht="27" customHeight="1">
      <c r="A65" s="629" t="s">
        <v>528</v>
      </c>
      <c r="B65" s="630" t="s">
        <v>354</v>
      </c>
      <c r="C65" s="631">
        <f t="shared" si="3"/>
        <v>323.08707200000003</v>
      </c>
      <c r="D65" s="632"/>
      <c r="E65" s="633"/>
      <c r="F65" s="634"/>
      <c r="G65" s="633"/>
      <c r="H65" s="633"/>
      <c r="I65" s="635"/>
      <c r="J65" s="635"/>
      <c r="K65" s="636">
        <f t="shared" si="4"/>
        <v>3.6341079723681426E-2</v>
      </c>
      <c r="L65" s="637"/>
      <c r="M65" s="638">
        <f t="shared" si="2"/>
        <v>101.18397955439281</v>
      </c>
      <c r="P65" s="619" t="s">
        <v>542</v>
      </c>
      <c r="Q65" s="624" t="s">
        <v>743</v>
      </c>
      <c r="R65" t="s">
        <v>406</v>
      </c>
      <c r="S65" t="s">
        <v>379</v>
      </c>
      <c r="T65" s="619" t="s">
        <v>232</v>
      </c>
      <c r="U65" s="619">
        <v>7</v>
      </c>
      <c r="V65" s="619">
        <v>106.0386</v>
      </c>
      <c r="W65" s="619">
        <v>742.27020000000005</v>
      </c>
    </row>
    <row r="66" spans="1:23" ht="27" customHeight="1">
      <c r="A66" s="629" t="s">
        <v>86</v>
      </c>
      <c r="B66" s="630" t="s">
        <v>506</v>
      </c>
      <c r="C66" s="631">
        <f t="shared" si="3"/>
        <v>319.96292399999999</v>
      </c>
      <c r="D66" s="632"/>
      <c r="E66" s="633"/>
      <c r="F66" s="634"/>
      <c r="G66" s="633"/>
      <c r="H66" s="633"/>
      <c r="I66" s="635"/>
      <c r="J66" s="635"/>
      <c r="K66" s="636">
        <f t="shared" si="4"/>
        <v>3.5989673179204824E-2</v>
      </c>
      <c r="L66" s="637"/>
      <c r="M66" s="638">
        <f t="shared" si="2"/>
        <v>101.21996922757201</v>
      </c>
      <c r="P66" s="619" t="s">
        <v>543</v>
      </c>
      <c r="Q66" s="624" t="s">
        <v>744</v>
      </c>
      <c r="R66" t="s">
        <v>406</v>
      </c>
      <c r="S66" t="s">
        <v>368</v>
      </c>
      <c r="T66" s="619" t="s">
        <v>433</v>
      </c>
      <c r="U66" s="619">
        <v>10</v>
      </c>
      <c r="V66" s="619">
        <v>3.7284540000000002</v>
      </c>
      <c r="W66" s="619">
        <v>37.28454</v>
      </c>
    </row>
    <row r="67" spans="1:23" ht="27" customHeight="1">
      <c r="A67" s="629" t="s">
        <v>46</v>
      </c>
      <c r="B67" s="630" t="s">
        <v>351</v>
      </c>
      <c r="C67" s="631">
        <f t="shared" ref="C67:C98" si="5">VLOOKUP(A67,$P$3:$W$144, 8, FALSE)</f>
        <v>307.85399999999998</v>
      </c>
      <c r="D67" s="632"/>
      <c r="E67" s="633"/>
      <c r="F67" s="634"/>
      <c r="G67" s="633"/>
      <c r="H67" s="633"/>
      <c r="I67" s="635"/>
      <c r="J67" s="635"/>
      <c r="K67" s="636">
        <f t="shared" ref="K67:K98" si="6">(C67*100)/$C$128</f>
        <v>3.4627652192948839E-2</v>
      </c>
      <c r="L67" s="637"/>
      <c r="M67" s="638">
        <f t="shared" si="2"/>
        <v>101.25459687976496</v>
      </c>
      <c r="S67" t="s">
        <v>409</v>
      </c>
      <c r="W67" s="619">
        <v>20112.580704</v>
      </c>
    </row>
    <row r="68" spans="1:23" ht="27" customHeight="1">
      <c r="A68" s="629" t="s">
        <v>538</v>
      </c>
      <c r="B68" s="630" t="s">
        <v>347</v>
      </c>
      <c r="C68" s="631">
        <f t="shared" si="5"/>
        <v>305.23154</v>
      </c>
      <c r="D68" s="632"/>
      <c r="E68" s="633"/>
      <c r="F68" s="634"/>
      <c r="G68" s="633"/>
      <c r="H68" s="633"/>
      <c r="I68" s="635"/>
      <c r="J68" s="635"/>
      <c r="K68" s="636">
        <f t="shared" si="6"/>
        <v>3.4332675896490382E-2</v>
      </c>
      <c r="L68" s="637"/>
      <c r="M68" s="638">
        <f t="shared" si="2"/>
        <v>101.28892955566145</v>
      </c>
    </row>
    <row r="69" spans="1:23" ht="27" customHeight="1">
      <c r="A69" s="629" t="s">
        <v>105</v>
      </c>
      <c r="B69" s="630" t="s">
        <v>424</v>
      </c>
      <c r="C69" s="631">
        <f t="shared" si="5"/>
        <v>302.49506000000002</v>
      </c>
      <c r="D69" s="632"/>
      <c r="E69" s="633"/>
      <c r="F69" s="634"/>
      <c r="G69" s="633"/>
      <c r="H69" s="633"/>
      <c r="I69" s="635"/>
      <c r="J69" s="635"/>
      <c r="K69" s="636">
        <f t="shared" si="6"/>
        <v>3.402487454366418E-2</v>
      </c>
      <c r="L69" s="637"/>
      <c r="M69" s="638">
        <f t="shared" ref="M69:M127" si="7">K69+M68</f>
        <v>101.32295443020512</v>
      </c>
      <c r="P69" s="619" t="s">
        <v>544</v>
      </c>
      <c r="Q69" s="624" t="s">
        <v>513</v>
      </c>
    </row>
    <row r="70" spans="1:23" ht="27" customHeight="1">
      <c r="A70" s="629" t="s">
        <v>526</v>
      </c>
      <c r="B70" s="630" t="s">
        <v>346</v>
      </c>
      <c r="C70" s="631">
        <f t="shared" si="5"/>
        <v>300.78476000000001</v>
      </c>
      <c r="D70" s="632"/>
      <c r="E70" s="633"/>
      <c r="F70" s="634"/>
      <c r="G70" s="633"/>
      <c r="H70" s="633"/>
      <c r="I70" s="635"/>
      <c r="J70" s="635"/>
      <c r="K70" s="636">
        <f t="shared" si="6"/>
        <v>3.3832498698147792E-2</v>
      </c>
      <c r="L70" s="637"/>
      <c r="M70" s="638">
        <f t="shared" si="7"/>
        <v>101.35678692890326</v>
      </c>
      <c r="P70" s="619" t="s">
        <v>41</v>
      </c>
      <c r="Q70" s="624" t="s">
        <v>745</v>
      </c>
      <c r="R70" t="s">
        <v>416</v>
      </c>
      <c r="S70" t="s">
        <v>613</v>
      </c>
      <c r="T70" s="619" t="s">
        <v>2</v>
      </c>
      <c r="U70" s="619">
        <v>1611.65</v>
      </c>
      <c r="V70" s="619">
        <v>14.874288</v>
      </c>
      <c r="W70" s="619">
        <v>23972.146255200001</v>
      </c>
    </row>
    <row r="71" spans="1:23" ht="27" customHeight="1">
      <c r="A71" s="629" t="s">
        <v>85</v>
      </c>
      <c r="B71" s="630" t="s">
        <v>505</v>
      </c>
      <c r="C71" s="631">
        <f t="shared" si="5"/>
        <v>289.72482000000002</v>
      </c>
      <c r="D71" s="632"/>
      <c r="E71" s="633"/>
      <c r="F71" s="634"/>
      <c r="G71" s="633"/>
      <c r="H71" s="633"/>
      <c r="I71" s="635"/>
      <c r="J71" s="635"/>
      <c r="K71" s="636">
        <f t="shared" si="6"/>
        <v>3.258846823047519E-2</v>
      </c>
      <c r="L71" s="637"/>
      <c r="M71" s="638">
        <f t="shared" si="7"/>
        <v>101.38937539713373</v>
      </c>
      <c r="P71" s="619" t="s">
        <v>54</v>
      </c>
      <c r="Q71" s="624" t="s">
        <v>746</v>
      </c>
      <c r="R71" t="s">
        <v>406</v>
      </c>
      <c r="S71" t="s">
        <v>614</v>
      </c>
      <c r="T71" s="619" t="s">
        <v>404</v>
      </c>
      <c r="U71" s="619">
        <v>2</v>
      </c>
      <c r="V71" s="619">
        <v>676.39</v>
      </c>
      <c r="W71" s="619">
        <v>1352.78</v>
      </c>
    </row>
    <row r="72" spans="1:23" ht="27" customHeight="1">
      <c r="A72" s="629" t="s">
        <v>84</v>
      </c>
      <c r="B72" s="630" t="s">
        <v>504</v>
      </c>
      <c r="C72" s="631">
        <f t="shared" si="5"/>
        <v>289.38275999999996</v>
      </c>
      <c r="D72" s="632"/>
      <c r="E72" s="633"/>
      <c r="F72" s="634"/>
      <c r="G72" s="633"/>
      <c r="H72" s="633"/>
      <c r="I72" s="635"/>
      <c r="J72" s="635"/>
      <c r="K72" s="636">
        <f t="shared" si="6"/>
        <v>3.2549993061371907E-2</v>
      </c>
      <c r="L72" s="637"/>
      <c r="M72" s="638">
        <f t="shared" si="7"/>
        <v>101.4219253901951</v>
      </c>
      <c r="P72" s="619" t="s">
        <v>55</v>
      </c>
      <c r="Q72" s="624" t="s">
        <v>747</v>
      </c>
      <c r="R72" t="s">
        <v>406</v>
      </c>
      <c r="S72" t="s">
        <v>615</v>
      </c>
      <c r="T72" s="619" t="s">
        <v>404</v>
      </c>
      <c r="U72" s="619">
        <v>3</v>
      </c>
      <c r="V72" s="619">
        <v>742.45600000000002</v>
      </c>
      <c r="W72" s="619">
        <v>2227.3679999999999</v>
      </c>
    </row>
    <row r="73" spans="1:23" ht="27" customHeight="1">
      <c r="A73" s="629" t="s">
        <v>45</v>
      </c>
      <c r="B73" s="630" t="s">
        <v>438</v>
      </c>
      <c r="C73" s="631">
        <f t="shared" si="5"/>
        <v>279.22357799999997</v>
      </c>
      <c r="D73" s="632"/>
      <c r="E73" s="633"/>
      <c r="F73" s="634"/>
      <c r="G73" s="633"/>
      <c r="H73" s="633"/>
      <c r="I73" s="635"/>
      <c r="J73" s="635"/>
      <c r="K73" s="636">
        <f t="shared" si="6"/>
        <v>3.1407280539004594E-2</v>
      </c>
      <c r="L73" s="637"/>
      <c r="M73" s="638">
        <f t="shared" si="7"/>
        <v>101.4533326707341</v>
      </c>
      <c r="P73" s="619" t="s">
        <v>56</v>
      </c>
      <c r="Q73" s="624" t="s">
        <v>748</v>
      </c>
      <c r="R73" t="s">
        <v>406</v>
      </c>
      <c r="S73" t="s">
        <v>470</v>
      </c>
      <c r="T73" s="619" t="s">
        <v>404</v>
      </c>
      <c r="U73" s="619">
        <v>8</v>
      </c>
      <c r="V73" s="619">
        <v>924.92399999999998</v>
      </c>
      <c r="W73" s="619">
        <v>7399.3919999999998</v>
      </c>
    </row>
    <row r="74" spans="1:23" ht="27" customHeight="1">
      <c r="A74" s="629" t="s">
        <v>508</v>
      </c>
      <c r="B74" s="630" t="s">
        <v>393</v>
      </c>
      <c r="C74" s="631">
        <f t="shared" si="5"/>
        <v>273.64799999999997</v>
      </c>
      <c r="D74" s="639"/>
      <c r="E74" s="633"/>
      <c r="F74" s="634"/>
      <c r="G74" s="633"/>
      <c r="H74" s="633"/>
      <c r="I74" s="635"/>
      <c r="J74" s="635"/>
      <c r="K74" s="636">
        <f t="shared" si="6"/>
        <v>3.0780135282621187E-2</v>
      </c>
      <c r="L74" s="637"/>
      <c r="M74" s="638">
        <f t="shared" si="7"/>
        <v>101.48411280601673</v>
      </c>
      <c r="P74" s="619" t="s">
        <v>57</v>
      </c>
      <c r="Q74" s="624" t="s">
        <v>749</v>
      </c>
      <c r="R74" t="s">
        <v>406</v>
      </c>
      <c r="S74" t="s">
        <v>471</v>
      </c>
      <c r="T74" s="619" t="s">
        <v>404</v>
      </c>
      <c r="U74" s="619">
        <v>2</v>
      </c>
      <c r="V74" s="619">
        <v>1013.0120000000001</v>
      </c>
      <c r="W74" s="619">
        <v>2026.0240000000001</v>
      </c>
    </row>
    <row r="75" spans="1:23" ht="27" customHeight="1">
      <c r="A75" s="629" t="s">
        <v>20</v>
      </c>
      <c r="B75" s="630" t="s">
        <v>321</v>
      </c>
      <c r="C75" s="631">
        <f t="shared" si="5"/>
        <v>270.32948799999997</v>
      </c>
      <c r="D75" s="632"/>
      <c r="E75" s="633"/>
      <c r="F75" s="634"/>
      <c r="G75" s="633"/>
      <c r="H75" s="633"/>
      <c r="I75" s="635"/>
      <c r="J75" s="635"/>
      <c r="K75" s="636">
        <f t="shared" si="6"/>
        <v>3.0406866527516084E-2</v>
      </c>
      <c r="L75" s="637"/>
      <c r="M75" s="638">
        <f t="shared" si="7"/>
        <v>101.51451967254424</v>
      </c>
      <c r="P75" s="619" t="s">
        <v>58</v>
      </c>
      <c r="Q75" s="624" t="s">
        <v>750</v>
      </c>
      <c r="R75" t="s">
        <v>406</v>
      </c>
      <c r="S75" t="s">
        <v>472</v>
      </c>
      <c r="T75" s="619" t="s">
        <v>404</v>
      </c>
      <c r="U75" s="619">
        <v>5</v>
      </c>
      <c r="V75" s="619">
        <v>1189.1880000000001</v>
      </c>
      <c r="W75" s="619">
        <v>5945.9400000000005</v>
      </c>
    </row>
    <row r="76" spans="1:23" ht="27" customHeight="1">
      <c r="A76" s="629" t="s">
        <v>536</v>
      </c>
      <c r="B76" s="630" t="s">
        <v>397</v>
      </c>
      <c r="C76" s="631">
        <f t="shared" si="5"/>
        <v>251.61933600000003</v>
      </c>
      <c r="D76" s="632"/>
      <c r="E76" s="633"/>
      <c r="F76" s="634"/>
      <c r="G76" s="633"/>
      <c r="H76" s="633"/>
      <c r="I76" s="635"/>
      <c r="J76" s="635"/>
      <c r="K76" s="636">
        <f t="shared" si="6"/>
        <v>2.830233439237019E-2</v>
      </c>
      <c r="L76" s="637"/>
      <c r="M76" s="638">
        <f t="shared" si="7"/>
        <v>101.5428220069366</v>
      </c>
      <c r="P76" s="619" t="s">
        <v>59</v>
      </c>
      <c r="Q76" s="624" t="s">
        <v>751</v>
      </c>
      <c r="R76" t="s">
        <v>406</v>
      </c>
      <c r="S76" t="s">
        <v>473</v>
      </c>
      <c r="T76" s="619" t="s">
        <v>404</v>
      </c>
      <c r="U76" s="619">
        <v>2</v>
      </c>
      <c r="V76" s="619">
        <v>1025.596</v>
      </c>
      <c r="W76" s="619">
        <v>2051.192</v>
      </c>
    </row>
    <row r="77" spans="1:23" ht="27" customHeight="1">
      <c r="A77" s="629" t="s">
        <v>101</v>
      </c>
      <c r="B77" s="630" t="s">
        <v>365</v>
      </c>
      <c r="C77" s="631">
        <f t="shared" si="5"/>
        <v>239.27096999999998</v>
      </c>
      <c r="D77" s="632"/>
      <c r="E77" s="633"/>
      <c r="F77" s="634"/>
      <c r="G77" s="633"/>
      <c r="H77" s="633"/>
      <c r="I77" s="635"/>
      <c r="J77" s="635"/>
      <c r="K77" s="636">
        <f t="shared" si="6"/>
        <v>2.69133807877419E-2</v>
      </c>
      <c r="L77" s="637"/>
      <c r="M77" s="638">
        <f t="shared" si="7"/>
        <v>101.56973538772435</v>
      </c>
      <c r="P77" s="619" t="s">
        <v>60</v>
      </c>
      <c r="Q77" s="624" t="s">
        <v>752</v>
      </c>
      <c r="R77" t="s">
        <v>406</v>
      </c>
      <c r="S77" t="s">
        <v>474</v>
      </c>
      <c r="T77" s="619" t="s">
        <v>404</v>
      </c>
      <c r="U77" s="619">
        <v>2</v>
      </c>
      <c r="V77" s="619">
        <v>1566.7080000000001</v>
      </c>
      <c r="W77" s="619">
        <v>3133.4160000000002</v>
      </c>
    </row>
    <row r="78" spans="1:23" ht="27" customHeight="1">
      <c r="A78" s="629" t="s">
        <v>68</v>
      </c>
      <c r="B78" s="630" t="s">
        <v>395</v>
      </c>
      <c r="C78" s="631">
        <f t="shared" si="5"/>
        <v>230.06955600000001</v>
      </c>
      <c r="D78" s="632"/>
      <c r="E78" s="633"/>
      <c r="F78" s="634"/>
      <c r="G78" s="633"/>
      <c r="H78" s="633"/>
      <c r="I78" s="635"/>
      <c r="J78" s="635"/>
      <c r="K78" s="636">
        <f t="shared" si="6"/>
        <v>2.5878398738863769E-2</v>
      </c>
      <c r="L78" s="637"/>
      <c r="M78" s="638">
        <f t="shared" si="7"/>
        <v>101.59561378646322</v>
      </c>
      <c r="P78" s="619" t="s">
        <v>61</v>
      </c>
      <c r="Q78" s="624" t="s">
        <v>753</v>
      </c>
      <c r="R78" t="s">
        <v>406</v>
      </c>
      <c r="S78" t="s">
        <v>468</v>
      </c>
      <c r="T78" s="619" t="s">
        <v>404</v>
      </c>
      <c r="U78" s="619">
        <v>3</v>
      </c>
      <c r="V78" s="619">
        <v>1214.356</v>
      </c>
      <c r="W78" s="619">
        <v>3643.0680000000002</v>
      </c>
    </row>
    <row r="79" spans="1:23" ht="27" customHeight="1">
      <c r="A79" s="629" t="s">
        <v>529</v>
      </c>
      <c r="B79" s="630" t="s">
        <v>448</v>
      </c>
      <c r="C79" s="631">
        <f t="shared" si="5"/>
        <v>227.18484999999998</v>
      </c>
      <c r="D79" s="632"/>
      <c r="E79" s="633"/>
      <c r="F79" s="634"/>
      <c r="G79" s="633"/>
      <c r="H79" s="633"/>
      <c r="I79" s="635"/>
      <c r="J79" s="635"/>
      <c r="K79" s="636">
        <f t="shared" si="6"/>
        <v>2.5553924812759466E-2</v>
      </c>
      <c r="L79" s="637"/>
      <c r="M79" s="638">
        <f t="shared" si="7"/>
        <v>101.62116771127597</v>
      </c>
      <c r="P79" s="619" t="s">
        <v>62</v>
      </c>
      <c r="Q79" s="624" t="s">
        <v>754</v>
      </c>
      <c r="R79" t="s">
        <v>406</v>
      </c>
      <c r="S79" t="s">
        <v>475</v>
      </c>
      <c r="T79" s="619" t="s">
        <v>404</v>
      </c>
      <c r="U79" s="619">
        <v>2</v>
      </c>
      <c r="V79" s="619">
        <v>1277.2760000000001</v>
      </c>
      <c r="W79" s="619">
        <v>2554.5520000000001</v>
      </c>
    </row>
    <row r="80" spans="1:23" ht="27" customHeight="1">
      <c r="A80" s="629" t="s">
        <v>77</v>
      </c>
      <c r="B80" s="630" t="s">
        <v>384</v>
      </c>
      <c r="C80" s="631">
        <f t="shared" si="5"/>
        <v>218.23428000000001</v>
      </c>
      <c r="D80" s="632"/>
      <c r="E80" s="633"/>
      <c r="F80" s="634"/>
      <c r="G80" s="633"/>
      <c r="H80" s="633"/>
      <c r="I80" s="635"/>
      <c r="J80" s="635"/>
      <c r="K80" s="636">
        <f t="shared" si="6"/>
        <v>2.45471578878904E-2</v>
      </c>
      <c r="L80" s="637"/>
      <c r="M80" s="638">
        <f t="shared" si="7"/>
        <v>101.64571486916387</v>
      </c>
      <c r="P80" s="619" t="s">
        <v>63</v>
      </c>
      <c r="Q80" s="624" t="s">
        <v>755</v>
      </c>
      <c r="R80" t="s">
        <v>406</v>
      </c>
      <c r="S80" t="s">
        <v>476</v>
      </c>
      <c r="T80" s="619" t="s">
        <v>404</v>
      </c>
      <c r="U80" s="619">
        <v>4</v>
      </c>
      <c r="V80" s="619">
        <v>2007.1480000000001</v>
      </c>
      <c r="W80" s="619">
        <v>8028.5920000000006</v>
      </c>
    </row>
    <row r="81" spans="1:23" ht="27" customHeight="1">
      <c r="A81" s="629" t="s">
        <v>481</v>
      </c>
      <c r="B81" s="630" t="s">
        <v>373</v>
      </c>
      <c r="C81" s="631">
        <f t="shared" si="5"/>
        <v>199.53499999999997</v>
      </c>
      <c r="D81" s="632"/>
      <c r="E81" s="633"/>
      <c r="F81" s="634"/>
      <c r="G81" s="633"/>
      <c r="H81" s="633"/>
      <c r="I81" s="635"/>
      <c r="J81" s="635"/>
      <c r="K81" s="636">
        <f t="shared" si="6"/>
        <v>2.2443848643577947E-2</v>
      </c>
      <c r="L81" s="637"/>
      <c r="M81" s="638">
        <f t="shared" si="7"/>
        <v>101.66815871780744</v>
      </c>
      <c r="P81" s="619" t="s">
        <v>64</v>
      </c>
      <c r="Q81" s="624" t="s">
        <v>756</v>
      </c>
      <c r="R81" t="s">
        <v>406</v>
      </c>
      <c r="S81" t="s">
        <v>616</v>
      </c>
      <c r="T81" s="619" t="s">
        <v>404</v>
      </c>
      <c r="U81" s="619">
        <v>10</v>
      </c>
      <c r="V81" s="619">
        <v>585.15599999999995</v>
      </c>
      <c r="W81" s="619">
        <v>5851.5599999999995</v>
      </c>
    </row>
    <row r="82" spans="1:23" ht="27" customHeight="1">
      <c r="A82" s="629" t="s">
        <v>486</v>
      </c>
      <c r="B82" s="630" t="s">
        <v>439</v>
      </c>
      <c r="C82" s="631">
        <f t="shared" si="5"/>
        <v>182.43199999999999</v>
      </c>
      <c r="D82" s="632"/>
      <c r="E82" s="633"/>
      <c r="F82" s="634"/>
      <c r="G82" s="633"/>
      <c r="H82" s="633"/>
      <c r="I82" s="635"/>
      <c r="J82" s="635"/>
      <c r="K82" s="636">
        <f t="shared" si="6"/>
        <v>2.0520090188414126E-2</v>
      </c>
      <c r="L82" s="637"/>
      <c r="M82" s="638">
        <f t="shared" si="7"/>
        <v>101.68867880799586</v>
      </c>
      <c r="S82" t="s">
        <v>410</v>
      </c>
      <c r="W82" s="619">
        <v>68186.030255199992</v>
      </c>
    </row>
    <row r="83" spans="1:23" ht="27" customHeight="1">
      <c r="A83" s="629" t="s">
        <v>83</v>
      </c>
      <c r="B83" s="630" t="s">
        <v>503</v>
      </c>
      <c r="C83" s="631">
        <f t="shared" si="5"/>
        <v>176.50296</v>
      </c>
      <c r="D83" s="632"/>
      <c r="E83" s="633"/>
      <c r="F83" s="634"/>
      <c r="G83" s="633"/>
      <c r="H83" s="633"/>
      <c r="I83" s="635"/>
      <c r="J83" s="635"/>
      <c r="K83" s="636">
        <f t="shared" si="6"/>
        <v>1.9853187257290666E-2</v>
      </c>
      <c r="L83" s="637"/>
      <c r="M83" s="638">
        <f t="shared" si="7"/>
        <v>101.70853199525315</v>
      </c>
      <c r="P83" s="619" t="s">
        <v>306</v>
      </c>
      <c r="Q83" s="624" t="s">
        <v>512</v>
      </c>
    </row>
    <row r="84" spans="1:23" ht="27" customHeight="1">
      <c r="A84" s="629" t="s">
        <v>81</v>
      </c>
      <c r="B84" s="630" t="s">
        <v>452</v>
      </c>
      <c r="C84" s="631">
        <f t="shared" si="5"/>
        <v>167.198928</v>
      </c>
      <c r="D84" s="632"/>
      <c r="E84" s="633"/>
      <c r="F84" s="634"/>
      <c r="G84" s="633"/>
      <c r="H84" s="633"/>
      <c r="I84" s="635"/>
      <c r="J84" s="635"/>
      <c r="K84" s="636">
        <f t="shared" si="6"/>
        <v>1.8806662657681546E-2</v>
      </c>
      <c r="L84" s="637"/>
      <c r="M84" s="638">
        <f t="shared" si="7"/>
        <v>101.72733865791083</v>
      </c>
      <c r="P84" s="619" t="s">
        <v>65</v>
      </c>
      <c r="Q84" s="624" t="s">
        <v>757</v>
      </c>
      <c r="R84" t="s">
        <v>406</v>
      </c>
      <c r="S84" t="s">
        <v>390</v>
      </c>
      <c r="T84" s="619" t="s">
        <v>404</v>
      </c>
      <c r="U84" s="619">
        <v>6</v>
      </c>
      <c r="V84" s="619">
        <v>18.471239999999998</v>
      </c>
      <c r="W84" s="619">
        <v>110.82744</v>
      </c>
    </row>
    <row r="85" spans="1:23" ht="27" customHeight="1">
      <c r="A85" s="629" t="s">
        <v>79</v>
      </c>
      <c r="B85" s="630" t="s">
        <v>450</v>
      </c>
      <c r="C85" s="631">
        <f t="shared" si="5"/>
        <v>159.39995999999999</v>
      </c>
      <c r="D85" s="632"/>
      <c r="E85" s="633"/>
      <c r="F85" s="634"/>
      <c r="G85" s="633"/>
      <c r="H85" s="633"/>
      <c r="I85" s="635"/>
      <c r="J85" s="635"/>
      <c r="K85" s="636">
        <f t="shared" si="6"/>
        <v>1.7929428802126841E-2</v>
      </c>
      <c r="L85" s="637"/>
      <c r="M85" s="638">
        <f t="shared" si="7"/>
        <v>101.74526808671297</v>
      </c>
      <c r="P85" s="619" t="s">
        <v>66</v>
      </c>
      <c r="Q85" s="624" t="s">
        <v>758</v>
      </c>
      <c r="R85" t="s">
        <v>406</v>
      </c>
      <c r="S85" t="s">
        <v>391</v>
      </c>
      <c r="T85" s="619" t="s">
        <v>404</v>
      </c>
      <c r="U85" s="619">
        <v>6</v>
      </c>
      <c r="V85" s="619">
        <v>18.687878000000001</v>
      </c>
      <c r="W85" s="619">
        <v>112.12726800000002</v>
      </c>
    </row>
    <row r="86" spans="1:23" ht="27" customHeight="1">
      <c r="A86" s="629" t="s">
        <v>80</v>
      </c>
      <c r="B86" s="630" t="s">
        <v>451</v>
      </c>
      <c r="C86" s="631">
        <f t="shared" si="5"/>
        <v>151.53258</v>
      </c>
      <c r="D86" s="632"/>
      <c r="E86" s="633"/>
      <c r="F86" s="634"/>
      <c r="G86" s="633"/>
      <c r="H86" s="633"/>
      <c r="I86" s="635"/>
      <c r="J86" s="635"/>
      <c r="K86" s="636">
        <f t="shared" si="6"/>
        <v>1.7044499912751483E-2</v>
      </c>
      <c r="L86" s="637"/>
      <c r="M86" s="638">
        <f t="shared" si="7"/>
        <v>101.76231258662573</v>
      </c>
      <c r="P86" s="619" t="s">
        <v>67</v>
      </c>
      <c r="Q86" s="624" t="s">
        <v>759</v>
      </c>
      <c r="R86" t="s">
        <v>406</v>
      </c>
      <c r="S86" t="s">
        <v>392</v>
      </c>
      <c r="T86" s="619" t="s">
        <v>404</v>
      </c>
      <c r="U86" s="619">
        <v>6</v>
      </c>
      <c r="V86" s="619">
        <v>20.329765999999999</v>
      </c>
      <c r="W86" s="619">
        <v>121.978596</v>
      </c>
    </row>
    <row r="87" spans="1:23" ht="27" customHeight="1">
      <c r="A87" s="629" t="s">
        <v>82</v>
      </c>
      <c r="B87" s="630" t="s">
        <v>453</v>
      </c>
      <c r="C87" s="631">
        <f t="shared" si="5"/>
        <v>150.43798799999999</v>
      </c>
      <c r="D87" s="632"/>
      <c r="E87" s="633"/>
      <c r="F87" s="634"/>
      <c r="G87" s="633"/>
      <c r="H87" s="633"/>
      <c r="I87" s="635"/>
      <c r="J87" s="635"/>
      <c r="K87" s="636">
        <f t="shared" si="6"/>
        <v>1.6921379371620998E-2</v>
      </c>
      <c r="L87" s="637"/>
      <c r="M87" s="638">
        <f t="shared" si="7"/>
        <v>101.77923396599735</v>
      </c>
      <c r="P87" s="619" t="s">
        <v>68</v>
      </c>
      <c r="Q87" s="624" t="s">
        <v>760</v>
      </c>
      <c r="R87" t="s">
        <v>406</v>
      </c>
      <c r="S87" t="s">
        <v>395</v>
      </c>
      <c r="T87" s="619" t="s">
        <v>433</v>
      </c>
      <c r="U87" s="619">
        <v>6</v>
      </c>
      <c r="V87" s="619">
        <v>38.344926000000001</v>
      </c>
      <c r="W87" s="619">
        <v>230.06955600000001</v>
      </c>
    </row>
    <row r="88" spans="1:23" ht="27" customHeight="1">
      <c r="A88" s="629" t="s">
        <v>78</v>
      </c>
      <c r="B88" s="630" t="s">
        <v>449</v>
      </c>
      <c r="C88" s="631">
        <f t="shared" si="5"/>
        <v>145.170264</v>
      </c>
      <c r="D88" s="632"/>
      <c r="E88" s="633"/>
      <c r="F88" s="634"/>
      <c r="G88" s="633"/>
      <c r="H88" s="633"/>
      <c r="I88" s="635"/>
      <c r="J88" s="635"/>
      <c r="K88" s="636">
        <f t="shared" si="6"/>
        <v>1.6328861767430543E-2</v>
      </c>
      <c r="L88" s="637"/>
      <c r="M88" s="638">
        <f t="shared" si="7"/>
        <v>101.79556282776478</v>
      </c>
      <c r="P88" s="619" t="s">
        <v>69</v>
      </c>
      <c r="Q88" s="624" t="s">
        <v>761</v>
      </c>
      <c r="R88" t="s">
        <v>406</v>
      </c>
      <c r="S88" t="s">
        <v>396</v>
      </c>
      <c r="T88" s="619" t="s">
        <v>433</v>
      </c>
      <c r="U88" s="619">
        <v>6</v>
      </c>
      <c r="V88" s="619">
        <v>10.797694</v>
      </c>
      <c r="W88" s="619">
        <v>64.786163999999999</v>
      </c>
    </row>
    <row r="89" spans="1:23" ht="27" customHeight="1">
      <c r="A89" s="629" t="s">
        <v>527</v>
      </c>
      <c r="B89" s="630" t="s">
        <v>447</v>
      </c>
      <c r="C89" s="631">
        <f t="shared" si="5"/>
        <v>142.12593000000001</v>
      </c>
      <c r="D89" s="632"/>
      <c r="E89" s="633"/>
      <c r="F89" s="634"/>
      <c r="G89" s="633"/>
      <c r="H89" s="633"/>
      <c r="I89" s="635"/>
      <c r="J89" s="635"/>
      <c r="K89" s="636">
        <f t="shared" si="6"/>
        <v>1.5986432762411382E-2</v>
      </c>
      <c r="L89" s="637"/>
      <c r="M89" s="638">
        <f t="shared" si="7"/>
        <v>101.8115492605272</v>
      </c>
      <c r="P89" s="619" t="s">
        <v>70</v>
      </c>
      <c r="Q89" s="624" t="s">
        <v>762</v>
      </c>
      <c r="R89" t="s">
        <v>406</v>
      </c>
      <c r="S89" t="s">
        <v>431</v>
      </c>
      <c r="T89" s="619" t="s">
        <v>432</v>
      </c>
      <c r="U89" s="619">
        <v>10</v>
      </c>
      <c r="V89" s="619">
        <v>860.17828199999997</v>
      </c>
      <c r="W89" s="619">
        <v>8601.7828200000004</v>
      </c>
    </row>
    <row r="90" spans="1:23" ht="27" customHeight="1">
      <c r="A90" s="629" t="s">
        <v>67</v>
      </c>
      <c r="B90" s="630" t="s">
        <v>392</v>
      </c>
      <c r="C90" s="631">
        <f t="shared" si="5"/>
        <v>121.978596</v>
      </c>
      <c r="D90" s="632"/>
      <c r="E90" s="633"/>
      <c r="F90" s="634"/>
      <c r="G90" s="633"/>
      <c r="H90" s="633"/>
      <c r="I90" s="635"/>
      <c r="J90" s="635"/>
      <c r="K90" s="636">
        <f t="shared" si="6"/>
        <v>1.3720245302228396E-2</v>
      </c>
      <c r="L90" s="637"/>
      <c r="M90" s="638">
        <f t="shared" si="7"/>
        <v>101.82526950582943</v>
      </c>
      <c r="P90" s="619" t="s">
        <v>71</v>
      </c>
      <c r="Q90" s="624" t="s">
        <v>763</v>
      </c>
      <c r="R90" t="s">
        <v>406</v>
      </c>
      <c r="S90" t="s">
        <v>371</v>
      </c>
      <c r="T90" s="619" t="s">
        <v>404</v>
      </c>
      <c r="U90" s="619">
        <v>3</v>
      </c>
      <c r="V90" s="619">
        <v>389.651948</v>
      </c>
      <c r="W90" s="619">
        <v>1168.9558440000001</v>
      </c>
    </row>
    <row r="91" spans="1:23" ht="27" customHeight="1">
      <c r="A91" s="629" t="s">
        <v>509</v>
      </c>
      <c r="B91" s="630" t="s">
        <v>428</v>
      </c>
      <c r="C91" s="631">
        <f t="shared" si="5"/>
        <v>112.65176</v>
      </c>
      <c r="D91" s="639"/>
      <c r="E91" s="633"/>
      <c r="F91" s="653"/>
      <c r="G91" s="633"/>
      <c r="H91" s="633"/>
      <c r="I91" s="635"/>
      <c r="J91" s="632"/>
      <c r="K91" s="636">
        <f t="shared" si="6"/>
        <v>1.2671155691345724E-2</v>
      </c>
      <c r="L91" s="637"/>
      <c r="M91" s="638">
        <f t="shared" si="7"/>
        <v>101.83794066152078</v>
      </c>
      <c r="P91" s="619" t="s">
        <v>72</v>
      </c>
      <c r="Q91" s="624" t="s">
        <v>764</v>
      </c>
      <c r="R91" t="s">
        <v>406</v>
      </c>
      <c r="S91" t="s">
        <v>372</v>
      </c>
      <c r="T91" s="619" t="s">
        <v>404</v>
      </c>
      <c r="U91" s="619">
        <v>3</v>
      </c>
      <c r="V91" s="619">
        <v>364.29390000000001</v>
      </c>
      <c r="W91" s="619">
        <v>1092.8816999999999</v>
      </c>
    </row>
    <row r="92" spans="1:23" ht="27" customHeight="1">
      <c r="A92" s="629" t="s">
        <v>66</v>
      </c>
      <c r="B92" s="630" t="s">
        <v>391</v>
      </c>
      <c r="C92" s="631">
        <f t="shared" si="5"/>
        <v>112.12726800000002</v>
      </c>
      <c r="D92" s="632"/>
      <c r="E92" s="633"/>
      <c r="F92" s="634"/>
      <c r="G92" s="633"/>
      <c r="H92" s="633"/>
      <c r="I92" s="635"/>
      <c r="J92" s="635"/>
      <c r="K92" s="636">
        <f t="shared" si="6"/>
        <v>1.2612160432054036E-2</v>
      </c>
      <c r="L92" s="637"/>
      <c r="M92" s="638">
        <f t="shared" si="7"/>
        <v>101.85055282195283</v>
      </c>
      <c r="P92" s="619" t="s">
        <v>73</v>
      </c>
      <c r="Q92" s="624" t="s">
        <v>765</v>
      </c>
      <c r="R92" t="s">
        <v>406</v>
      </c>
      <c r="S92" t="s">
        <v>417</v>
      </c>
      <c r="T92" s="619" t="s">
        <v>433</v>
      </c>
      <c r="U92" s="619">
        <v>3</v>
      </c>
      <c r="V92" s="619">
        <v>779.14426800000001</v>
      </c>
      <c r="W92" s="619">
        <v>2337.432804</v>
      </c>
    </row>
    <row r="93" spans="1:23" ht="27" customHeight="1">
      <c r="A93" s="629" t="s">
        <v>65</v>
      </c>
      <c r="B93" s="630" t="s">
        <v>390</v>
      </c>
      <c r="C93" s="631">
        <f t="shared" si="5"/>
        <v>110.82744</v>
      </c>
      <c r="D93" s="632"/>
      <c r="E93" s="633"/>
      <c r="F93" s="634"/>
      <c r="G93" s="633"/>
      <c r="H93" s="633"/>
      <c r="I93" s="635"/>
      <c r="J93" s="635"/>
      <c r="K93" s="636">
        <f t="shared" si="6"/>
        <v>1.2465954789461581E-2</v>
      </c>
      <c r="L93" s="637"/>
      <c r="M93" s="638">
        <f t="shared" si="7"/>
        <v>101.86301877674229</v>
      </c>
      <c r="P93" s="619" t="s">
        <v>74</v>
      </c>
      <c r="Q93" s="624" t="s">
        <v>766</v>
      </c>
      <c r="R93" t="s">
        <v>416</v>
      </c>
      <c r="S93" t="s">
        <v>418</v>
      </c>
      <c r="T93" s="619" t="s">
        <v>433</v>
      </c>
      <c r="U93" s="619">
        <v>6</v>
      </c>
      <c r="V93" s="619">
        <v>682.40970000000004</v>
      </c>
      <c r="W93" s="619">
        <v>4094.4582</v>
      </c>
    </row>
    <row r="94" spans="1:23" ht="27" customHeight="1">
      <c r="A94" s="629" t="s">
        <v>510</v>
      </c>
      <c r="B94" s="630" t="s">
        <v>367</v>
      </c>
      <c r="C94" s="631">
        <f t="shared" si="5"/>
        <v>102.61800000000001</v>
      </c>
      <c r="D94" s="639"/>
      <c r="E94" s="633"/>
      <c r="F94" s="634"/>
      <c r="G94" s="633"/>
      <c r="H94" s="633"/>
      <c r="I94" s="635"/>
      <c r="J94" s="635"/>
      <c r="K94" s="636">
        <f t="shared" si="6"/>
        <v>1.1542550730982948E-2</v>
      </c>
      <c r="L94" s="637"/>
      <c r="M94" s="638">
        <f t="shared" si="7"/>
        <v>101.87456132747327</v>
      </c>
      <c r="P94" s="619" t="s">
        <v>75</v>
      </c>
      <c r="Q94" s="624" t="s">
        <v>767</v>
      </c>
      <c r="R94" t="s">
        <v>406</v>
      </c>
      <c r="S94" t="s">
        <v>378</v>
      </c>
      <c r="T94" s="619" t="s">
        <v>433</v>
      </c>
      <c r="U94" s="619">
        <v>6</v>
      </c>
      <c r="V94" s="619">
        <v>853.72474999999997</v>
      </c>
      <c r="W94" s="619">
        <v>5122.3485000000001</v>
      </c>
    </row>
    <row r="95" spans="1:23" ht="27" customHeight="1">
      <c r="A95" s="629" t="s">
        <v>21</v>
      </c>
      <c r="B95" s="630" t="s">
        <v>480</v>
      </c>
      <c r="C95" s="631">
        <f t="shared" si="5"/>
        <v>102.597352</v>
      </c>
      <c r="D95" s="632"/>
      <c r="E95" s="633"/>
      <c r="F95" s="634"/>
      <c r="G95" s="633"/>
      <c r="H95" s="633"/>
      <c r="I95" s="635"/>
      <c r="J95" s="635"/>
      <c r="K95" s="636">
        <f t="shared" si="6"/>
        <v>1.1540228228230082E-2</v>
      </c>
      <c r="L95" s="637"/>
      <c r="M95" s="638">
        <f t="shared" si="7"/>
        <v>101.8861015557015</v>
      </c>
      <c r="P95" s="619" t="s">
        <v>76</v>
      </c>
      <c r="Q95" s="624" t="s">
        <v>768</v>
      </c>
      <c r="R95" t="s">
        <v>406</v>
      </c>
      <c r="S95" t="s">
        <v>429</v>
      </c>
      <c r="T95" s="619" t="s">
        <v>404</v>
      </c>
      <c r="U95" s="619">
        <v>15</v>
      </c>
      <c r="V95" s="619">
        <v>36.189948000000001</v>
      </c>
      <c r="W95" s="619">
        <v>542.84922000000006</v>
      </c>
    </row>
    <row r="96" spans="1:23" ht="27" customHeight="1">
      <c r="A96" s="629" t="s">
        <v>42</v>
      </c>
      <c r="B96" s="630" t="s">
        <v>426</v>
      </c>
      <c r="C96" s="631">
        <f t="shared" si="5"/>
        <v>97.829159999999987</v>
      </c>
      <c r="D96" s="632"/>
      <c r="E96" s="633"/>
      <c r="F96" s="634"/>
      <c r="G96" s="633"/>
      <c r="H96" s="633"/>
      <c r="I96" s="635"/>
      <c r="J96" s="635"/>
      <c r="K96" s="636">
        <f t="shared" si="6"/>
        <v>1.1003898363537075E-2</v>
      </c>
      <c r="L96" s="637"/>
      <c r="M96" s="638">
        <f t="shared" si="7"/>
        <v>101.89710545406504</v>
      </c>
      <c r="P96" s="619" t="s">
        <v>77</v>
      </c>
      <c r="Q96" s="624" t="s">
        <v>769</v>
      </c>
      <c r="R96" t="s">
        <v>406</v>
      </c>
      <c r="S96" t="s">
        <v>384</v>
      </c>
      <c r="T96" s="619" t="s">
        <v>404</v>
      </c>
      <c r="U96" s="619">
        <v>15</v>
      </c>
      <c r="V96" s="619">
        <v>14.548952</v>
      </c>
      <c r="W96" s="619">
        <v>218.23428000000001</v>
      </c>
    </row>
    <row r="97" spans="1:23" ht="27" customHeight="1">
      <c r="A97" s="629" t="s">
        <v>530</v>
      </c>
      <c r="B97" s="630" t="s">
        <v>355</v>
      </c>
      <c r="C97" s="631">
        <f t="shared" si="5"/>
        <v>97.008216000000004</v>
      </c>
      <c r="D97" s="632"/>
      <c r="E97" s="633"/>
      <c r="F97" s="634"/>
      <c r="G97" s="633"/>
      <c r="H97" s="633"/>
      <c r="I97" s="635"/>
      <c r="J97" s="635"/>
      <c r="K97" s="636">
        <f t="shared" si="6"/>
        <v>1.0911557957689213E-2</v>
      </c>
      <c r="L97" s="637"/>
      <c r="M97" s="638">
        <f t="shared" si="7"/>
        <v>101.90801701202273</v>
      </c>
      <c r="P97" s="619" t="s">
        <v>78</v>
      </c>
      <c r="Q97" s="624" t="s">
        <v>770</v>
      </c>
      <c r="R97" t="s">
        <v>406</v>
      </c>
      <c r="S97" t="s">
        <v>449</v>
      </c>
      <c r="T97" s="619" t="s">
        <v>404</v>
      </c>
      <c r="U97" s="619">
        <v>6</v>
      </c>
      <c r="V97" s="619">
        <v>24.195043999999999</v>
      </c>
      <c r="W97" s="619">
        <v>145.170264</v>
      </c>
    </row>
    <row r="98" spans="1:23" ht="27" customHeight="1">
      <c r="A98" s="629" t="s">
        <v>89</v>
      </c>
      <c r="B98" s="630" t="s">
        <v>436</v>
      </c>
      <c r="C98" s="631">
        <f t="shared" si="5"/>
        <v>78.856232000000006</v>
      </c>
      <c r="D98" s="632"/>
      <c r="E98" s="633"/>
      <c r="F98" s="634"/>
      <c r="G98" s="633"/>
      <c r="H98" s="633"/>
      <c r="I98" s="635"/>
      <c r="J98" s="635"/>
      <c r="K98" s="636">
        <f t="shared" si="6"/>
        <v>8.8698089839420076E-3</v>
      </c>
      <c r="L98" s="637"/>
      <c r="M98" s="638">
        <f t="shared" si="7"/>
        <v>101.91688682100667</v>
      </c>
      <c r="P98" s="619" t="s">
        <v>79</v>
      </c>
      <c r="Q98" s="624" t="s">
        <v>771</v>
      </c>
      <c r="R98" t="s">
        <v>406</v>
      </c>
      <c r="S98" t="s">
        <v>450</v>
      </c>
      <c r="T98" s="619" t="s">
        <v>404</v>
      </c>
      <c r="U98" s="619">
        <v>6</v>
      </c>
      <c r="V98" s="619">
        <v>26.566659999999999</v>
      </c>
      <c r="W98" s="619">
        <v>159.39995999999999</v>
      </c>
    </row>
    <row r="99" spans="1:23" ht="27" customHeight="1">
      <c r="A99" s="629" t="s">
        <v>522</v>
      </c>
      <c r="B99" s="630" t="s">
        <v>446</v>
      </c>
      <c r="C99" s="631">
        <f t="shared" ref="C99:C127" si="8">VLOOKUP(A99,$P$3:$W$144, 8, FALSE)</f>
        <v>68.412000000000006</v>
      </c>
      <c r="D99" s="632"/>
      <c r="E99" s="633"/>
      <c r="F99" s="634"/>
      <c r="G99" s="633"/>
      <c r="H99" s="633"/>
      <c r="I99" s="635"/>
      <c r="J99" s="635"/>
      <c r="K99" s="636">
        <f t="shared" ref="K99:K127" si="9">(C99*100)/$C$128</f>
        <v>7.6950338206552985E-3</v>
      </c>
      <c r="L99" s="637"/>
      <c r="M99" s="638">
        <f t="shared" si="7"/>
        <v>101.92458185482732</v>
      </c>
      <c r="P99" s="619" t="s">
        <v>80</v>
      </c>
      <c r="Q99" s="624" t="s">
        <v>772</v>
      </c>
      <c r="R99" t="s">
        <v>406</v>
      </c>
      <c r="S99" t="s">
        <v>451</v>
      </c>
      <c r="T99" s="619" t="s">
        <v>404</v>
      </c>
      <c r="U99" s="619">
        <v>6</v>
      </c>
      <c r="V99" s="619">
        <v>25.255429999999997</v>
      </c>
      <c r="W99" s="619">
        <v>151.53258</v>
      </c>
    </row>
    <row r="100" spans="1:23" ht="27" customHeight="1">
      <c r="A100" s="629" t="s">
        <v>496</v>
      </c>
      <c r="B100" s="630" t="s">
        <v>377</v>
      </c>
      <c r="C100" s="631">
        <f t="shared" si="8"/>
        <v>64.820369999999997</v>
      </c>
      <c r="D100" s="654"/>
      <c r="E100" s="633"/>
      <c r="F100" s="634"/>
      <c r="G100" s="633"/>
      <c r="H100" s="633"/>
      <c r="I100" s="635"/>
      <c r="J100" s="635"/>
      <c r="K100" s="636">
        <f t="shared" si="9"/>
        <v>7.2910445450708938E-3</v>
      </c>
      <c r="L100" s="637"/>
      <c r="M100" s="638">
        <f t="shared" si="7"/>
        <v>101.93187289937239</v>
      </c>
      <c r="P100" s="619" t="s">
        <v>81</v>
      </c>
      <c r="Q100" s="624" t="s">
        <v>773</v>
      </c>
      <c r="R100" t="s">
        <v>406</v>
      </c>
      <c r="S100" t="s">
        <v>452</v>
      </c>
      <c r="T100" s="619" t="s">
        <v>404</v>
      </c>
      <c r="U100" s="619">
        <v>6</v>
      </c>
      <c r="V100" s="619">
        <v>27.866488</v>
      </c>
      <c r="W100" s="619">
        <v>167.198928</v>
      </c>
    </row>
    <row r="101" spans="1:23" ht="27" customHeight="1">
      <c r="A101" s="629" t="s">
        <v>69</v>
      </c>
      <c r="B101" s="630" t="s">
        <v>396</v>
      </c>
      <c r="C101" s="631">
        <f t="shared" si="8"/>
        <v>64.786163999999999</v>
      </c>
      <c r="D101" s="632"/>
      <c r="E101" s="633"/>
      <c r="F101" s="634"/>
      <c r="G101" s="633"/>
      <c r="H101" s="633"/>
      <c r="I101" s="635"/>
      <c r="J101" s="635"/>
      <c r="K101" s="636">
        <f t="shared" si="9"/>
        <v>7.2871970281605672E-3</v>
      </c>
      <c r="L101" s="637"/>
      <c r="M101" s="638">
        <f t="shared" si="7"/>
        <v>101.93916009640056</v>
      </c>
      <c r="P101" s="619" t="s">
        <v>82</v>
      </c>
      <c r="Q101" s="624" t="s">
        <v>774</v>
      </c>
      <c r="R101" t="s">
        <v>406</v>
      </c>
      <c r="S101" t="s">
        <v>453</v>
      </c>
      <c r="T101" s="619" t="s">
        <v>433</v>
      </c>
      <c r="U101" s="619">
        <v>6</v>
      </c>
      <c r="V101" s="619">
        <v>25.072997999999998</v>
      </c>
      <c r="W101" s="619">
        <v>150.43798799999999</v>
      </c>
    </row>
    <row r="102" spans="1:23" ht="27" customHeight="1">
      <c r="A102" s="629" t="s">
        <v>91</v>
      </c>
      <c r="B102" s="630" t="s">
        <v>361</v>
      </c>
      <c r="C102" s="631">
        <f t="shared" si="8"/>
        <v>57.466080000000005</v>
      </c>
      <c r="D102" s="632"/>
      <c r="E102" s="633"/>
      <c r="F102" s="634"/>
      <c r="G102" s="633"/>
      <c r="H102" s="633"/>
      <c r="I102" s="635"/>
      <c r="J102" s="635"/>
      <c r="K102" s="636">
        <f t="shared" si="9"/>
        <v>6.4638284093504507E-3</v>
      </c>
      <c r="L102" s="637"/>
      <c r="M102" s="638">
        <f t="shared" si="7"/>
        <v>101.94562392480991</v>
      </c>
      <c r="P102" s="619" t="s">
        <v>83</v>
      </c>
      <c r="Q102" s="624" t="s">
        <v>775</v>
      </c>
      <c r="R102" t="s">
        <v>406</v>
      </c>
      <c r="S102" t="s">
        <v>503</v>
      </c>
      <c r="T102" s="619" t="s">
        <v>433</v>
      </c>
      <c r="U102" s="619">
        <v>6</v>
      </c>
      <c r="V102" s="619">
        <v>29.417159999999999</v>
      </c>
      <c r="W102" s="619">
        <v>176.50296</v>
      </c>
    </row>
    <row r="103" spans="1:23" ht="27" customHeight="1">
      <c r="A103" s="629" t="s">
        <v>541</v>
      </c>
      <c r="B103" s="630" t="s">
        <v>345</v>
      </c>
      <c r="C103" s="631">
        <f t="shared" si="8"/>
        <v>55.459327999999999</v>
      </c>
      <c r="D103" s="632"/>
      <c r="E103" s="633"/>
      <c r="F103" s="634"/>
      <c r="G103" s="633"/>
      <c r="H103" s="633"/>
      <c r="I103" s="635"/>
      <c r="J103" s="635"/>
      <c r="K103" s="636">
        <f t="shared" si="9"/>
        <v>6.2381074172778942E-3</v>
      </c>
      <c r="L103" s="637"/>
      <c r="M103" s="638">
        <f t="shared" si="7"/>
        <v>101.95186203222718</v>
      </c>
      <c r="P103" s="619" t="s">
        <v>84</v>
      </c>
      <c r="Q103" s="624" t="s">
        <v>776</v>
      </c>
      <c r="R103" t="s">
        <v>406</v>
      </c>
      <c r="S103" t="s">
        <v>504</v>
      </c>
      <c r="T103" s="619" t="s">
        <v>433</v>
      </c>
      <c r="U103" s="619">
        <v>6</v>
      </c>
      <c r="V103" s="619">
        <v>48.230459999999994</v>
      </c>
      <c r="W103" s="619">
        <v>289.38275999999996</v>
      </c>
    </row>
    <row r="104" spans="1:23" ht="27" customHeight="1">
      <c r="A104" s="629" t="s">
        <v>92</v>
      </c>
      <c r="B104" s="630" t="s">
        <v>362</v>
      </c>
      <c r="C104" s="631">
        <f t="shared" si="8"/>
        <v>53.247339999999994</v>
      </c>
      <c r="D104" s="632"/>
      <c r="E104" s="633"/>
      <c r="F104" s="634"/>
      <c r="G104" s="633"/>
      <c r="H104" s="633"/>
      <c r="I104" s="635"/>
      <c r="J104" s="635"/>
      <c r="K104" s="636">
        <f t="shared" si="9"/>
        <v>5.9893013237433731E-3</v>
      </c>
      <c r="L104" s="637"/>
      <c r="M104" s="638">
        <f t="shared" si="7"/>
        <v>101.95785133355092</v>
      </c>
      <c r="P104" s="619" t="s">
        <v>85</v>
      </c>
      <c r="Q104" s="624" t="s">
        <v>777</v>
      </c>
      <c r="R104" t="s">
        <v>406</v>
      </c>
      <c r="S104" t="s">
        <v>505</v>
      </c>
      <c r="T104" s="619" t="s">
        <v>433</v>
      </c>
      <c r="U104" s="619">
        <v>6</v>
      </c>
      <c r="V104" s="619">
        <v>48.287469999999999</v>
      </c>
      <c r="W104" s="619">
        <v>289.72482000000002</v>
      </c>
    </row>
    <row r="105" spans="1:23" ht="27" customHeight="1">
      <c r="A105" s="629" t="s">
        <v>93</v>
      </c>
      <c r="B105" s="630" t="s">
        <v>363</v>
      </c>
      <c r="C105" s="631">
        <f t="shared" si="8"/>
        <v>50.054780000000001</v>
      </c>
      <c r="D105" s="632"/>
      <c r="E105" s="633"/>
      <c r="F105" s="634"/>
      <c r="G105" s="633"/>
      <c r="H105" s="633"/>
      <c r="I105" s="635"/>
      <c r="J105" s="635"/>
      <c r="K105" s="636">
        <f t="shared" si="9"/>
        <v>5.6301997454461265E-3</v>
      </c>
      <c r="L105" s="637"/>
      <c r="M105" s="638">
        <f t="shared" si="7"/>
        <v>101.96348153329636</v>
      </c>
      <c r="P105" s="619" t="s">
        <v>86</v>
      </c>
      <c r="Q105" s="624" t="s">
        <v>778</v>
      </c>
      <c r="R105" t="s">
        <v>406</v>
      </c>
      <c r="S105" t="s">
        <v>506</v>
      </c>
      <c r="T105" s="619" t="s">
        <v>433</v>
      </c>
      <c r="U105" s="619">
        <v>6</v>
      </c>
      <c r="V105" s="619">
        <v>53.327154</v>
      </c>
      <c r="W105" s="619">
        <v>319.96292399999999</v>
      </c>
    </row>
    <row r="106" spans="1:23" ht="27" customHeight="1">
      <c r="A106" s="629" t="s">
        <v>531</v>
      </c>
      <c r="B106" s="630" t="s">
        <v>353</v>
      </c>
      <c r="C106" s="631">
        <f t="shared" si="8"/>
        <v>41.685712000000002</v>
      </c>
      <c r="D106" s="632"/>
      <c r="E106" s="633"/>
      <c r="F106" s="634"/>
      <c r="G106" s="633"/>
      <c r="H106" s="633"/>
      <c r="I106" s="635"/>
      <c r="J106" s="635"/>
      <c r="K106" s="636">
        <f t="shared" si="9"/>
        <v>4.6888406080526288E-3</v>
      </c>
      <c r="L106" s="637"/>
      <c r="M106" s="638">
        <f t="shared" si="7"/>
        <v>101.96817037390441</v>
      </c>
      <c r="P106" s="619" t="s">
        <v>87</v>
      </c>
      <c r="Q106" s="624" t="s">
        <v>779</v>
      </c>
      <c r="R106" t="s">
        <v>406</v>
      </c>
      <c r="S106" t="s">
        <v>375</v>
      </c>
      <c r="T106" s="619" t="s">
        <v>404</v>
      </c>
      <c r="U106" s="619">
        <v>8</v>
      </c>
      <c r="V106" s="619">
        <v>68.697050000000004</v>
      </c>
      <c r="W106" s="619">
        <v>549.57640000000004</v>
      </c>
    </row>
    <row r="107" spans="1:23" ht="27" customHeight="1">
      <c r="A107" s="629" t="s">
        <v>94</v>
      </c>
      <c r="B107" s="630" t="s">
        <v>364</v>
      </c>
      <c r="C107" s="631">
        <f t="shared" si="8"/>
        <v>41.047200000000004</v>
      </c>
      <c r="D107" s="632"/>
      <c r="E107" s="633"/>
      <c r="F107" s="634"/>
      <c r="G107" s="633"/>
      <c r="H107" s="633"/>
      <c r="I107" s="635"/>
      <c r="J107" s="635"/>
      <c r="K107" s="636">
        <f t="shared" si="9"/>
        <v>4.6170202923931786E-3</v>
      </c>
      <c r="L107" s="637"/>
      <c r="M107" s="638">
        <f t="shared" si="7"/>
        <v>101.9727873941968</v>
      </c>
      <c r="P107" s="619" t="s">
        <v>88</v>
      </c>
      <c r="Q107" s="624" t="s">
        <v>780</v>
      </c>
      <c r="R107" t="s">
        <v>406</v>
      </c>
      <c r="S107" t="s">
        <v>435</v>
      </c>
      <c r="T107" s="619" t="s">
        <v>404</v>
      </c>
      <c r="U107" s="619">
        <v>8</v>
      </c>
      <c r="V107" s="619">
        <v>61.114719999999998</v>
      </c>
      <c r="W107" s="619">
        <v>488.91775999999999</v>
      </c>
    </row>
    <row r="108" spans="1:23" ht="27" customHeight="1">
      <c r="A108" s="629" t="s">
        <v>543</v>
      </c>
      <c r="B108" s="630" t="s">
        <v>368</v>
      </c>
      <c r="C108" s="631">
        <f t="shared" si="8"/>
        <v>37.28454</v>
      </c>
      <c r="D108" s="632"/>
      <c r="E108" s="633"/>
      <c r="F108" s="634"/>
      <c r="G108" s="633"/>
      <c r="H108" s="633"/>
      <c r="I108" s="635"/>
      <c r="J108" s="635"/>
      <c r="K108" s="636">
        <f t="shared" si="9"/>
        <v>4.1937934322571375E-3</v>
      </c>
      <c r="L108" s="637"/>
      <c r="M108" s="638">
        <f t="shared" si="7"/>
        <v>101.97698118762905</v>
      </c>
      <c r="P108" s="619" t="s">
        <v>89</v>
      </c>
      <c r="Q108" s="624" t="s">
        <v>781</v>
      </c>
      <c r="R108" t="s">
        <v>406</v>
      </c>
      <c r="S108" t="s">
        <v>436</v>
      </c>
      <c r="T108" s="619" t="s">
        <v>404</v>
      </c>
      <c r="U108" s="619">
        <v>26</v>
      </c>
      <c r="V108" s="619">
        <v>3.0329320000000002</v>
      </c>
      <c r="W108" s="619">
        <v>78.856232000000006</v>
      </c>
    </row>
    <row r="109" spans="1:23" ht="27" customHeight="1">
      <c r="A109" s="629" t="s">
        <v>53</v>
      </c>
      <c r="B109" s="630" t="s">
        <v>388</v>
      </c>
      <c r="C109" s="631">
        <f t="shared" si="8"/>
        <v>31.355499999999999</v>
      </c>
      <c r="D109" s="632"/>
      <c r="E109" s="633"/>
      <c r="F109" s="634"/>
      <c r="G109" s="633"/>
      <c r="H109" s="633"/>
      <c r="I109" s="635"/>
      <c r="J109" s="635"/>
      <c r="K109" s="636">
        <f t="shared" si="9"/>
        <v>3.5268905011336779E-3</v>
      </c>
      <c r="L109" s="637"/>
      <c r="M109" s="638">
        <f t="shared" si="7"/>
        <v>101.98050807813019</v>
      </c>
      <c r="P109" s="619" t="s">
        <v>90</v>
      </c>
      <c r="Q109" s="624" t="s">
        <v>782</v>
      </c>
      <c r="R109" t="s">
        <v>416</v>
      </c>
      <c r="S109" t="s">
        <v>462</v>
      </c>
      <c r="T109" s="619" t="s">
        <v>404</v>
      </c>
      <c r="U109" s="619">
        <v>10</v>
      </c>
      <c r="V109" s="619">
        <v>1.5848779999999998</v>
      </c>
      <c r="W109" s="619">
        <v>15.848779999999998</v>
      </c>
    </row>
    <row r="110" spans="1:23" ht="27" customHeight="1">
      <c r="A110" s="629" t="s">
        <v>521</v>
      </c>
      <c r="B110" s="630" t="s">
        <v>445</v>
      </c>
      <c r="C110" s="631">
        <f t="shared" si="8"/>
        <v>29.075100000000003</v>
      </c>
      <c r="D110" s="632"/>
      <c r="E110" s="633"/>
      <c r="F110" s="634"/>
      <c r="G110" s="633"/>
      <c r="H110" s="633"/>
      <c r="I110" s="635"/>
      <c r="J110" s="635"/>
      <c r="K110" s="636">
        <f t="shared" si="9"/>
        <v>3.2703893737785019E-3</v>
      </c>
      <c r="L110" s="637"/>
      <c r="M110" s="638">
        <f t="shared" si="7"/>
        <v>101.98377846750397</v>
      </c>
      <c r="P110" s="619" t="s">
        <v>91</v>
      </c>
      <c r="Q110" s="624" t="s">
        <v>783</v>
      </c>
      <c r="R110" t="s">
        <v>406</v>
      </c>
      <c r="S110" t="s">
        <v>361</v>
      </c>
      <c r="T110" s="619" t="s">
        <v>433</v>
      </c>
      <c r="U110" s="619">
        <v>10</v>
      </c>
      <c r="V110" s="619">
        <v>5.7466080000000002</v>
      </c>
      <c r="W110" s="619">
        <v>57.466080000000005</v>
      </c>
    </row>
    <row r="111" spans="1:23" ht="27" customHeight="1">
      <c r="A111" s="629" t="s">
        <v>50</v>
      </c>
      <c r="B111" s="630" t="s">
        <v>386</v>
      </c>
      <c r="C111" s="631">
        <f t="shared" si="8"/>
        <v>28.904070000000001</v>
      </c>
      <c r="D111" s="632"/>
      <c r="E111" s="633"/>
      <c r="F111" s="634"/>
      <c r="G111" s="633"/>
      <c r="H111" s="633"/>
      <c r="I111" s="635"/>
      <c r="J111" s="635"/>
      <c r="K111" s="636">
        <f t="shared" si="9"/>
        <v>3.2511517892268634E-3</v>
      </c>
      <c r="L111" s="637"/>
      <c r="M111" s="638">
        <f t="shared" si="7"/>
        <v>101.9870296192932</v>
      </c>
      <c r="P111" s="619" t="s">
        <v>92</v>
      </c>
      <c r="Q111" s="624" t="s">
        <v>784</v>
      </c>
      <c r="R111" t="s">
        <v>406</v>
      </c>
      <c r="S111" t="s">
        <v>362</v>
      </c>
      <c r="T111" s="619" t="s">
        <v>433</v>
      </c>
      <c r="U111" s="619">
        <v>10</v>
      </c>
      <c r="V111" s="619">
        <v>5.3247339999999994</v>
      </c>
      <c r="W111" s="619">
        <v>53.247339999999994</v>
      </c>
    </row>
    <row r="112" spans="1:23" ht="27" customHeight="1">
      <c r="A112" s="629" t="s">
        <v>532</v>
      </c>
      <c r="B112" s="630" t="s">
        <v>421</v>
      </c>
      <c r="C112" s="631">
        <f t="shared" si="8"/>
        <v>28.596215999999998</v>
      </c>
      <c r="D112" s="632"/>
      <c r="E112" s="633"/>
      <c r="F112" s="634"/>
      <c r="G112" s="633"/>
      <c r="H112" s="633"/>
      <c r="I112" s="635"/>
      <c r="J112" s="635"/>
      <c r="K112" s="636">
        <f t="shared" si="9"/>
        <v>3.2165241370339143E-3</v>
      </c>
      <c r="L112" s="637"/>
      <c r="M112" s="638">
        <f t="shared" si="7"/>
        <v>101.99024614343023</v>
      </c>
      <c r="P112" s="619" t="s">
        <v>93</v>
      </c>
      <c r="Q112" s="624" t="s">
        <v>785</v>
      </c>
      <c r="R112" t="s">
        <v>406</v>
      </c>
      <c r="S112" t="s">
        <v>363</v>
      </c>
      <c r="T112" s="619" t="s">
        <v>433</v>
      </c>
      <c r="U112" s="619">
        <v>10</v>
      </c>
      <c r="V112" s="619">
        <v>5.0054780000000001</v>
      </c>
      <c r="W112" s="619">
        <v>50.054780000000001</v>
      </c>
    </row>
    <row r="113" spans="1:23" ht="27" customHeight="1">
      <c r="A113" s="629" t="s">
        <v>520</v>
      </c>
      <c r="B113" s="630" t="s">
        <v>444</v>
      </c>
      <c r="C113" s="631">
        <f t="shared" si="8"/>
        <v>20.523600000000002</v>
      </c>
      <c r="D113" s="632"/>
      <c r="E113" s="633"/>
      <c r="F113" s="634"/>
      <c r="G113" s="633"/>
      <c r="H113" s="633"/>
      <c r="I113" s="635"/>
      <c r="J113" s="635"/>
      <c r="K113" s="636">
        <f t="shared" si="9"/>
        <v>2.3085101461965893E-3</v>
      </c>
      <c r="L113" s="637"/>
      <c r="M113" s="638">
        <f t="shared" si="7"/>
        <v>101.99255465357642</v>
      </c>
      <c r="P113" s="619" t="s">
        <v>94</v>
      </c>
      <c r="Q113" s="624" t="s">
        <v>786</v>
      </c>
      <c r="R113" t="s">
        <v>406</v>
      </c>
      <c r="S113" t="s">
        <v>364</v>
      </c>
      <c r="T113" s="619" t="s">
        <v>433</v>
      </c>
      <c r="U113" s="619">
        <v>10</v>
      </c>
      <c r="V113" s="619">
        <v>4.1047200000000004</v>
      </c>
      <c r="W113" s="619">
        <v>41.047200000000004</v>
      </c>
    </row>
    <row r="114" spans="1:23" ht="27" customHeight="1">
      <c r="A114" s="629" t="s">
        <v>52</v>
      </c>
      <c r="B114" s="630" t="s">
        <v>389</v>
      </c>
      <c r="C114" s="631">
        <f t="shared" si="8"/>
        <v>20.295559999999998</v>
      </c>
      <c r="D114" s="632"/>
      <c r="E114" s="633"/>
      <c r="F114" s="634"/>
      <c r="G114" s="633"/>
      <c r="H114" s="633"/>
      <c r="I114" s="635"/>
      <c r="J114" s="635"/>
      <c r="K114" s="636">
        <f t="shared" si="9"/>
        <v>2.2828600334610714E-3</v>
      </c>
      <c r="L114" s="637"/>
      <c r="M114" s="638">
        <f t="shared" si="7"/>
        <v>101.99483751360988</v>
      </c>
      <c r="P114" s="619" t="s">
        <v>95</v>
      </c>
      <c r="Q114" s="624" t="s">
        <v>787</v>
      </c>
      <c r="R114" t="s">
        <v>406</v>
      </c>
      <c r="S114" t="s">
        <v>398</v>
      </c>
      <c r="T114" s="619" t="s">
        <v>404</v>
      </c>
      <c r="U114" s="619">
        <v>6</v>
      </c>
      <c r="V114" s="619">
        <v>167.60939999999999</v>
      </c>
      <c r="W114" s="619">
        <v>1005.6564</v>
      </c>
    </row>
    <row r="115" spans="1:23" ht="27" customHeight="1">
      <c r="A115" s="629" t="s">
        <v>533</v>
      </c>
      <c r="B115" s="630" t="s">
        <v>352</v>
      </c>
      <c r="C115" s="631">
        <f t="shared" si="8"/>
        <v>19.383400000000002</v>
      </c>
      <c r="D115" s="632"/>
      <c r="E115" s="633"/>
      <c r="F115" s="634"/>
      <c r="G115" s="633"/>
      <c r="H115" s="633"/>
      <c r="I115" s="635"/>
      <c r="J115" s="635"/>
      <c r="K115" s="636">
        <f t="shared" si="9"/>
        <v>2.1802595825190013E-3</v>
      </c>
      <c r="L115" s="637"/>
      <c r="M115" s="638">
        <f t="shared" si="7"/>
        <v>101.9970177731924</v>
      </c>
      <c r="P115" s="619" t="s">
        <v>96</v>
      </c>
      <c r="Q115" s="624" t="s">
        <v>788</v>
      </c>
      <c r="R115" t="s">
        <v>406</v>
      </c>
      <c r="S115" t="s">
        <v>399</v>
      </c>
      <c r="T115" s="619" t="s">
        <v>433</v>
      </c>
      <c r="U115" s="619">
        <v>10</v>
      </c>
      <c r="V115" s="619">
        <v>151.64660000000001</v>
      </c>
      <c r="W115" s="619">
        <v>1516.4660000000001</v>
      </c>
    </row>
    <row r="116" spans="1:23" ht="27" customHeight="1">
      <c r="A116" s="629" t="s">
        <v>100</v>
      </c>
      <c r="B116" s="630" t="s">
        <v>458</v>
      </c>
      <c r="C116" s="631">
        <f t="shared" si="8"/>
        <v>18.98433</v>
      </c>
      <c r="D116" s="632"/>
      <c r="E116" s="633"/>
      <c r="F116" s="634"/>
      <c r="G116" s="633"/>
      <c r="H116" s="633"/>
      <c r="I116" s="635"/>
      <c r="J116" s="635"/>
      <c r="K116" s="636">
        <f t="shared" si="9"/>
        <v>2.1353718852318449E-3</v>
      </c>
      <c r="L116" s="637"/>
      <c r="M116" s="638">
        <f t="shared" si="7"/>
        <v>101.99915314507763</v>
      </c>
      <c r="P116" s="619" t="s">
        <v>97</v>
      </c>
      <c r="Q116" s="624" t="s">
        <v>789</v>
      </c>
      <c r="R116" t="s">
        <v>423</v>
      </c>
      <c r="S116" t="s">
        <v>422</v>
      </c>
      <c r="T116" s="619" t="s">
        <v>404</v>
      </c>
      <c r="U116" s="619">
        <v>5</v>
      </c>
      <c r="V116" s="619">
        <v>0.67271799999999993</v>
      </c>
      <c r="W116" s="619">
        <v>3.3635899999999994</v>
      </c>
    </row>
    <row r="117" spans="1:23" ht="27" customHeight="1">
      <c r="A117" s="629" t="s">
        <v>90</v>
      </c>
      <c r="B117" s="630" t="s">
        <v>462</v>
      </c>
      <c r="C117" s="631">
        <f t="shared" si="8"/>
        <v>15.848779999999998</v>
      </c>
      <c r="D117" s="632"/>
      <c r="E117" s="633"/>
      <c r="F117" s="634"/>
      <c r="G117" s="633"/>
      <c r="H117" s="633"/>
      <c r="I117" s="635"/>
      <c r="J117" s="635"/>
      <c r="K117" s="636">
        <f t="shared" si="9"/>
        <v>1.782682835118477E-3</v>
      </c>
      <c r="L117" s="637"/>
      <c r="M117" s="638">
        <f t="shared" si="7"/>
        <v>102.00093582791274</v>
      </c>
      <c r="P117" s="619" t="s">
        <v>98</v>
      </c>
      <c r="Q117" s="624" t="s">
        <v>790</v>
      </c>
      <c r="R117" t="s">
        <v>416</v>
      </c>
      <c r="S117" t="s">
        <v>457</v>
      </c>
      <c r="T117" s="619" t="s">
        <v>404</v>
      </c>
      <c r="U117" s="619">
        <v>5</v>
      </c>
      <c r="V117" s="619">
        <v>2.7022740000000001</v>
      </c>
      <c r="W117" s="619">
        <v>13.511369999999999</v>
      </c>
    </row>
    <row r="118" spans="1:23" ht="27" customHeight="1">
      <c r="A118" s="629" t="s">
        <v>49</v>
      </c>
      <c r="B118" s="630" t="s">
        <v>366</v>
      </c>
      <c r="C118" s="631">
        <f t="shared" si="8"/>
        <v>14.822600000000001</v>
      </c>
      <c r="D118" s="632"/>
      <c r="E118" s="633"/>
      <c r="F118" s="634"/>
      <c r="G118" s="633"/>
      <c r="H118" s="633"/>
      <c r="I118" s="635"/>
      <c r="J118" s="635"/>
      <c r="K118" s="636">
        <f t="shared" si="9"/>
        <v>1.6672573278086482E-3</v>
      </c>
      <c r="L118" s="637"/>
      <c r="M118" s="638">
        <f t="shared" si="7"/>
        <v>102.00260308524055</v>
      </c>
      <c r="P118" s="619" t="s">
        <v>99</v>
      </c>
      <c r="Q118" s="624" t="s">
        <v>791</v>
      </c>
      <c r="R118" t="s">
        <v>416</v>
      </c>
      <c r="S118" t="s">
        <v>456</v>
      </c>
      <c r="T118" s="619" t="s">
        <v>404</v>
      </c>
      <c r="U118" s="619">
        <v>5</v>
      </c>
      <c r="V118" s="619">
        <v>1.2542200000000001</v>
      </c>
      <c r="W118" s="619">
        <v>6.2711000000000006</v>
      </c>
    </row>
    <row r="119" spans="1:23" ht="27" customHeight="1">
      <c r="A119" s="629" t="s">
        <v>51</v>
      </c>
      <c r="B119" s="630" t="s">
        <v>387</v>
      </c>
      <c r="C119" s="631">
        <f t="shared" si="8"/>
        <v>13.511369999999999</v>
      </c>
      <c r="D119" s="632"/>
      <c r="E119" s="633"/>
      <c r="F119" s="634"/>
      <c r="G119" s="633"/>
      <c r="H119" s="633"/>
      <c r="I119" s="635"/>
      <c r="J119" s="635"/>
      <c r="K119" s="636">
        <f t="shared" si="9"/>
        <v>1.5197691795794212E-3</v>
      </c>
      <c r="L119" s="637"/>
      <c r="M119" s="638">
        <f t="shared" si="7"/>
        <v>102.00412285442013</v>
      </c>
      <c r="P119" s="619" t="s">
        <v>100</v>
      </c>
      <c r="Q119" s="624" t="s">
        <v>792</v>
      </c>
      <c r="R119" t="s">
        <v>416</v>
      </c>
      <c r="S119" t="s">
        <v>458</v>
      </c>
      <c r="T119" s="619" t="s">
        <v>404</v>
      </c>
      <c r="U119" s="619">
        <v>5</v>
      </c>
      <c r="V119" s="619">
        <v>3.7968660000000001</v>
      </c>
      <c r="W119" s="619">
        <v>18.98433</v>
      </c>
    </row>
    <row r="120" spans="1:23" ht="27" customHeight="1">
      <c r="A120" s="629" t="s">
        <v>98</v>
      </c>
      <c r="B120" s="630" t="s">
        <v>457</v>
      </c>
      <c r="C120" s="631">
        <f t="shared" si="8"/>
        <v>13.511369999999999</v>
      </c>
      <c r="D120" s="632"/>
      <c r="E120" s="633"/>
      <c r="F120" s="634"/>
      <c r="G120" s="633"/>
      <c r="H120" s="633"/>
      <c r="I120" s="635"/>
      <c r="J120" s="635"/>
      <c r="K120" s="636">
        <f t="shared" si="9"/>
        <v>1.5197691795794212E-3</v>
      </c>
      <c r="L120" s="637"/>
      <c r="M120" s="638">
        <f t="shared" si="7"/>
        <v>102.00564262359971</v>
      </c>
      <c r="P120" s="619" t="s">
        <v>101</v>
      </c>
      <c r="Q120" s="624" t="s">
        <v>793</v>
      </c>
      <c r="R120" t="s">
        <v>406</v>
      </c>
      <c r="S120" t="s">
        <v>365</v>
      </c>
      <c r="T120" s="619" t="s">
        <v>433</v>
      </c>
      <c r="U120" s="619">
        <v>1</v>
      </c>
      <c r="V120" s="619">
        <v>239.27096999999998</v>
      </c>
      <c r="W120" s="619">
        <v>239.27096999999998</v>
      </c>
    </row>
    <row r="121" spans="1:23" ht="27" customHeight="1">
      <c r="A121" s="629" t="s">
        <v>104</v>
      </c>
      <c r="B121" s="630" t="s">
        <v>461</v>
      </c>
      <c r="C121" s="631">
        <f t="shared" si="8"/>
        <v>9.9197400000000009</v>
      </c>
      <c r="D121" s="632"/>
      <c r="E121" s="633"/>
      <c r="F121" s="634"/>
      <c r="G121" s="633"/>
      <c r="H121" s="633"/>
      <c r="I121" s="635"/>
      <c r="J121" s="635"/>
      <c r="K121" s="636">
        <f t="shared" si="9"/>
        <v>1.1157799039950183E-3</v>
      </c>
      <c r="L121" s="637"/>
      <c r="M121" s="638">
        <f t="shared" si="7"/>
        <v>102.00675840350371</v>
      </c>
      <c r="P121" s="619" t="s">
        <v>102</v>
      </c>
      <c r="Q121" s="624" t="s">
        <v>794</v>
      </c>
      <c r="R121" t="s">
        <v>416</v>
      </c>
      <c r="S121" t="s">
        <v>459</v>
      </c>
      <c r="T121" s="619" t="s">
        <v>404</v>
      </c>
      <c r="U121" s="619">
        <v>5</v>
      </c>
      <c r="V121" s="619">
        <v>1.1972100000000001</v>
      </c>
      <c r="W121" s="619">
        <v>5.9860500000000005</v>
      </c>
    </row>
    <row r="122" spans="1:23" ht="27" customHeight="1">
      <c r="A122" s="629" t="s">
        <v>99</v>
      </c>
      <c r="B122" s="630" t="s">
        <v>456</v>
      </c>
      <c r="C122" s="631">
        <f t="shared" si="8"/>
        <v>6.2711000000000006</v>
      </c>
      <c r="D122" s="632"/>
      <c r="E122" s="633"/>
      <c r="F122" s="634">
        <v>34783</v>
      </c>
      <c r="G122" s="633"/>
      <c r="H122" s="633"/>
      <c r="I122" s="635" t="str">
        <f>L122&amp;"/15"</f>
        <v>MDF-Man-0015/15</v>
      </c>
      <c r="J122" s="655"/>
      <c r="K122" s="636">
        <f t="shared" si="9"/>
        <v>7.0537810022673565E-4</v>
      </c>
      <c r="L122" s="637" t="s">
        <v>126</v>
      </c>
      <c r="M122" s="638">
        <f t="shared" si="7"/>
        <v>102.00746378160393</v>
      </c>
      <c r="P122" s="619" t="s">
        <v>103</v>
      </c>
      <c r="Q122" s="624" t="s">
        <v>795</v>
      </c>
      <c r="R122" t="s">
        <v>416</v>
      </c>
      <c r="S122" t="s">
        <v>460</v>
      </c>
      <c r="T122" s="619" t="s">
        <v>404</v>
      </c>
      <c r="U122" s="619">
        <v>5</v>
      </c>
      <c r="V122" s="619">
        <v>0.85514999999999997</v>
      </c>
      <c r="W122" s="619">
        <v>4.2757499999999995</v>
      </c>
    </row>
    <row r="123" spans="1:23" ht="30.75" customHeight="1">
      <c r="A123" s="629" t="s">
        <v>102</v>
      </c>
      <c r="B123" s="630" t="s">
        <v>459</v>
      </c>
      <c r="C123" s="631">
        <f t="shared" si="8"/>
        <v>5.9860500000000005</v>
      </c>
      <c r="D123" s="632"/>
      <c r="E123" s="656"/>
      <c r="F123" s="657"/>
      <c r="G123" s="656"/>
      <c r="H123" s="656"/>
      <c r="I123" s="658" t="str">
        <f t="shared" ref="I123:I135" si="10">L123&amp;"/15"</f>
        <v>/15</v>
      </c>
      <c r="J123" s="658"/>
      <c r="K123" s="636">
        <f t="shared" si="9"/>
        <v>6.7331545930733854E-4</v>
      </c>
      <c r="L123" s="659"/>
      <c r="M123" s="638">
        <f t="shared" si="7"/>
        <v>102.00813709706324</v>
      </c>
      <c r="P123" s="619" t="s">
        <v>104</v>
      </c>
      <c r="Q123" s="624" t="s">
        <v>796</v>
      </c>
      <c r="R123" t="s">
        <v>416</v>
      </c>
      <c r="S123" t="s">
        <v>461</v>
      </c>
      <c r="T123" s="619" t="s">
        <v>404</v>
      </c>
      <c r="U123" s="619">
        <v>5</v>
      </c>
      <c r="V123" s="619">
        <v>1.983948</v>
      </c>
      <c r="W123" s="619">
        <v>9.9197400000000009</v>
      </c>
    </row>
    <row r="124" spans="1:23" ht="22.5" customHeight="1">
      <c r="A124" s="629" t="s">
        <v>103</v>
      </c>
      <c r="B124" s="630" t="s">
        <v>460</v>
      </c>
      <c r="C124" s="631">
        <f t="shared" si="8"/>
        <v>4.2757499999999995</v>
      </c>
      <c r="D124" s="632"/>
      <c r="E124" s="660"/>
      <c r="F124" s="661"/>
      <c r="G124" s="660"/>
      <c r="H124" s="660"/>
      <c r="I124" s="662" t="str">
        <f t="shared" si="10"/>
        <v>/15</v>
      </c>
      <c r="J124" s="662"/>
      <c r="K124" s="636">
        <f t="shared" si="9"/>
        <v>4.8093961379095605E-4</v>
      </c>
      <c r="L124" s="663"/>
      <c r="M124" s="638">
        <f t="shared" si="7"/>
        <v>102.00861803667703</v>
      </c>
      <c r="P124" s="619" t="s">
        <v>105</v>
      </c>
      <c r="Q124" s="624" t="s">
        <v>797</v>
      </c>
      <c r="R124" t="s">
        <v>406</v>
      </c>
      <c r="S124" t="s">
        <v>424</v>
      </c>
      <c r="T124" s="619" t="s">
        <v>404</v>
      </c>
      <c r="U124" s="619">
        <v>1</v>
      </c>
      <c r="V124" s="619">
        <v>302.49506000000002</v>
      </c>
      <c r="W124" s="619">
        <v>302.49506000000002</v>
      </c>
    </row>
    <row r="125" spans="1:23" ht="22.5" customHeight="1">
      <c r="A125" s="629" t="s">
        <v>97</v>
      </c>
      <c r="B125" s="630" t="s">
        <v>422</v>
      </c>
      <c r="C125" s="631">
        <f t="shared" si="8"/>
        <v>3.3635899999999994</v>
      </c>
      <c r="D125" s="632"/>
      <c r="E125" s="660"/>
      <c r="F125" s="661"/>
      <c r="G125" s="660"/>
      <c r="H125" s="660"/>
      <c r="I125" s="662" t="str">
        <f t="shared" si="10"/>
        <v>/15</v>
      </c>
      <c r="J125" s="662"/>
      <c r="K125" s="636">
        <f t="shared" si="9"/>
        <v>3.7833916284888536E-4</v>
      </c>
      <c r="L125" s="663"/>
      <c r="M125" s="638">
        <f t="shared" si="7"/>
        <v>102.00899637583989</v>
      </c>
      <c r="P125" s="619" t="s">
        <v>481</v>
      </c>
      <c r="Q125" s="624" t="s">
        <v>798</v>
      </c>
      <c r="R125" t="s">
        <v>406</v>
      </c>
      <c r="S125" t="s">
        <v>373</v>
      </c>
      <c r="T125" s="619" t="s">
        <v>404</v>
      </c>
      <c r="U125" s="619">
        <v>5</v>
      </c>
      <c r="V125" s="619">
        <v>39.906999999999996</v>
      </c>
      <c r="W125" s="619">
        <v>199.53499999999997</v>
      </c>
    </row>
    <row r="126" spans="1:23" ht="34.5" customHeight="1">
      <c r="A126" s="629" t="s">
        <v>29</v>
      </c>
      <c r="B126" s="630" t="s">
        <v>517</v>
      </c>
      <c r="C126" s="631">
        <f t="shared" si="8"/>
        <v>-4900.8</v>
      </c>
      <c r="D126" s="632"/>
      <c r="E126" s="660"/>
      <c r="F126" s="661"/>
      <c r="G126" s="660"/>
      <c r="H126" s="660"/>
      <c r="I126" s="662"/>
      <c r="J126" s="662"/>
      <c r="K126" s="636">
        <f t="shared" si="9"/>
        <v>-0.55124571344599604</v>
      </c>
      <c r="L126" s="663"/>
      <c r="M126" s="638">
        <f t="shared" si="7"/>
        <v>101.45775066239389</v>
      </c>
      <c r="P126" s="619" t="s">
        <v>482</v>
      </c>
      <c r="Q126" s="624" t="s">
        <v>799</v>
      </c>
      <c r="R126" t="s">
        <v>406</v>
      </c>
      <c r="S126" t="s">
        <v>405</v>
      </c>
      <c r="T126" s="619" t="s">
        <v>2</v>
      </c>
      <c r="U126" s="619">
        <v>30</v>
      </c>
      <c r="V126" s="619">
        <v>17.866934000000001</v>
      </c>
      <c r="W126" s="619">
        <v>536.00801999999999</v>
      </c>
    </row>
    <row r="127" spans="1:23" ht="40.5" customHeight="1">
      <c r="A127" s="664" t="s">
        <v>28</v>
      </c>
      <c r="B127" s="665" t="s">
        <v>518</v>
      </c>
      <c r="C127" s="631">
        <f t="shared" si="8"/>
        <v>-12960</v>
      </c>
      <c r="D127" s="666"/>
      <c r="E127" s="667"/>
      <c r="F127" s="668"/>
      <c r="G127" s="667"/>
      <c r="H127" s="667"/>
      <c r="I127" s="669"/>
      <c r="J127" s="669"/>
      <c r="K127" s="670">
        <f t="shared" si="9"/>
        <v>-1.4577506623939172</v>
      </c>
      <c r="L127" s="671"/>
      <c r="M127" s="672">
        <f t="shared" si="7"/>
        <v>99.999999999999972</v>
      </c>
      <c r="P127" s="619" t="s">
        <v>483</v>
      </c>
      <c r="Q127" s="624" t="s">
        <v>800</v>
      </c>
      <c r="R127" t="s">
        <v>406</v>
      </c>
      <c r="S127" t="s">
        <v>382</v>
      </c>
      <c r="T127" s="619" t="s">
        <v>433</v>
      </c>
      <c r="U127" s="619">
        <v>5</v>
      </c>
      <c r="V127" s="619">
        <v>250.84399999999999</v>
      </c>
      <c r="W127" s="619">
        <v>1254.22</v>
      </c>
    </row>
    <row r="128" spans="1:23" ht="29.25" customHeight="1">
      <c r="A128" s="620"/>
      <c r="B128" s="673" t="s">
        <v>320</v>
      </c>
      <c r="C128" s="674">
        <f>SUM(C3:C127)</f>
        <v>889040.92684252991</v>
      </c>
      <c r="D128" s="522"/>
      <c r="E128" s="522"/>
      <c r="F128" s="523"/>
      <c r="G128" s="522"/>
      <c r="H128" s="522"/>
      <c r="I128" s="524"/>
      <c r="J128" s="524"/>
      <c r="K128" s="525">
        <f>SUM(K3:K127)</f>
        <v>99.999999999999972</v>
      </c>
      <c r="L128" s="521"/>
      <c r="M128" s="124"/>
      <c r="P128" s="619" t="s">
        <v>484</v>
      </c>
      <c r="Q128" s="624" t="s">
        <v>801</v>
      </c>
      <c r="R128" t="s">
        <v>406</v>
      </c>
      <c r="S128" t="s">
        <v>383</v>
      </c>
      <c r="T128" s="619" t="s">
        <v>433</v>
      </c>
      <c r="U128" s="619">
        <v>5</v>
      </c>
      <c r="V128" s="619">
        <v>342.06</v>
      </c>
      <c r="W128" s="619">
        <v>1710.3</v>
      </c>
    </row>
    <row r="129" spans="2:23" ht="18.75" customHeight="1">
      <c r="B129" s="3"/>
      <c r="D129" s="48"/>
      <c r="I129" t="str">
        <f t="shared" si="10"/>
        <v>/15</v>
      </c>
      <c r="P129" s="619" t="s">
        <v>485</v>
      </c>
      <c r="Q129" s="624" t="s">
        <v>802</v>
      </c>
      <c r="R129" t="s">
        <v>406</v>
      </c>
      <c r="S129" t="s">
        <v>374</v>
      </c>
      <c r="T129" s="619" t="s">
        <v>404</v>
      </c>
      <c r="U129" s="619">
        <v>8</v>
      </c>
      <c r="V129" s="619">
        <v>118.19313199999999</v>
      </c>
      <c r="W129" s="619">
        <v>945.54505599999993</v>
      </c>
    </row>
    <row r="130" spans="2:23" ht="61.5" customHeight="1">
      <c r="I130" t="str">
        <f t="shared" si="10"/>
        <v>/15</v>
      </c>
      <c r="P130" s="619" t="s">
        <v>486</v>
      </c>
      <c r="Q130" s="624" t="s">
        <v>803</v>
      </c>
      <c r="R130" t="s">
        <v>406</v>
      </c>
      <c r="S130" t="s">
        <v>439</v>
      </c>
      <c r="T130" s="619" t="s">
        <v>433</v>
      </c>
      <c r="U130" s="619">
        <v>4</v>
      </c>
      <c r="V130" s="619">
        <v>45.607999999999997</v>
      </c>
      <c r="W130" s="619">
        <v>182.43199999999999</v>
      </c>
    </row>
    <row r="131" spans="2:23">
      <c r="D131" s="49" t="e">
        <f>#REF!+#REF!+#REF!+#REF!+#REF!+#REF!+#REF!+#REF!+#REF!+#REF!+#REF!+#REF!+#REF!+#REF!+#REF!+#REF!+#REF!+#REF!+#REF!+#REF!+#REF!+#REF!+#REF!+#REF!+#REF!+#REF!+#REF!+#REF!</f>
        <v>#REF!</v>
      </c>
      <c r="I131" t="str">
        <f t="shared" si="10"/>
        <v>/15</v>
      </c>
      <c r="P131" s="619" t="s">
        <v>487</v>
      </c>
      <c r="Q131" s="624" t="s">
        <v>804</v>
      </c>
      <c r="R131" t="s">
        <v>406</v>
      </c>
      <c r="S131" t="s">
        <v>400</v>
      </c>
      <c r="T131" s="619" t="s">
        <v>433</v>
      </c>
      <c r="U131" s="619">
        <v>5</v>
      </c>
      <c r="V131" s="619">
        <v>114.02</v>
      </c>
      <c r="W131" s="619">
        <v>570.1</v>
      </c>
    </row>
    <row r="132" spans="2:23">
      <c r="I132" t="str">
        <f t="shared" si="10"/>
        <v>/15</v>
      </c>
      <c r="P132" s="619" t="s">
        <v>488</v>
      </c>
      <c r="Q132" s="624" t="s">
        <v>805</v>
      </c>
      <c r="R132" t="s">
        <v>406</v>
      </c>
      <c r="S132" t="s">
        <v>381</v>
      </c>
      <c r="T132" s="619" t="s">
        <v>433</v>
      </c>
      <c r="U132" s="619">
        <v>10</v>
      </c>
      <c r="V132" s="619">
        <v>114.02</v>
      </c>
      <c r="W132" s="619">
        <v>1140.2</v>
      </c>
    </row>
    <row r="133" spans="2:23">
      <c r="D133" s="48"/>
      <c r="I133" t="str">
        <f t="shared" si="10"/>
        <v>/15</v>
      </c>
      <c r="P133" s="619" t="s">
        <v>489</v>
      </c>
      <c r="Q133" s="624" t="s">
        <v>806</v>
      </c>
      <c r="R133" t="s">
        <v>416</v>
      </c>
      <c r="S133" t="s">
        <v>385</v>
      </c>
      <c r="T133" s="619" t="s">
        <v>2</v>
      </c>
      <c r="U133" s="619">
        <v>15</v>
      </c>
      <c r="V133" s="619">
        <v>42.255812000000006</v>
      </c>
      <c r="W133" s="619">
        <v>633.8371800000001</v>
      </c>
    </row>
    <row r="134" spans="2:23">
      <c r="I134" t="str">
        <f t="shared" si="10"/>
        <v>/15</v>
      </c>
      <c r="P134" s="619" t="s">
        <v>490</v>
      </c>
      <c r="Q134" s="624" t="s">
        <v>807</v>
      </c>
      <c r="R134" t="s">
        <v>416</v>
      </c>
      <c r="S134" t="s">
        <v>369</v>
      </c>
      <c r="T134" s="619" t="s">
        <v>2</v>
      </c>
      <c r="U134" s="619">
        <v>15</v>
      </c>
      <c r="V134" s="619">
        <v>42.358429999999998</v>
      </c>
      <c r="W134" s="619">
        <v>635.37644999999998</v>
      </c>
    </row>
    <row r="135" spans="2:23">
      <c r="D135" s="50"/>
      <c r="I135" t="str">
        <f t="shared" si="10"/>
        <v>/15</v>
      </c>
      <c r="P135" s="619" t="s">
        <v>491</v>
      </c>
      <c r="Q135" s="624" t="s">
        <v>808</v>
      </c>
      <c r="R135" t="s">
        <v>416</v>
      </c>
      <c r="S135" t="s">
        <v>454</v>
      </c>
      <c r="T135" s="619" t="s">
        <v>2</v>
      </c>
      <c r="U135" s="619">
        <v>15</v>
      </c>
      <c r="V135" s="619">
        <v>42.255812000000006</v>
      </c>
      <c r="W135" s="619">
        <v>633.8371800000001</v>
      </c>
    </row>
    <row r="136" spans="2:23">
      <c r="P136" s="619" t="s">
        <v>492</v>
      </c>
      <c r="Q136" s="624" t="s">
        <v>809</v>
      </c>
      <c r="R136" t="s">
        <v>416</v>
      </c>
      <c r="S136" t="s">
        <v>455</v>
      </c>
      <c r="T136" s="619" t="s">
        <v>2</v>
      </c>
      <c r="U136" s="619">
        <v>15</v>
      </c>
      <c r="V136" s="619">
        <v>42.575068000000002</v>
      </c>
      <c r="W136" s="619">
        <v>638.62602000000004</v>
      </c>
    </row>
    <row r="137" spans="2:23">
      <c r="P137" s="619" t="s">
        <v>493</v>
      </c>
      <c r="Q137" s="624" t="s">
        <v>810</v>
      </c>
      <c r="R137" t="s">
        <v>416</v>
      </c>
      <c r="S137" t="s">
        <v>370</v>
      </c>
      <c r="T137" s="619" t="s">
        <v>2</v>
      </c>
      <c r="U137" s="619">
        <v>15</v>
      </c>
      <c r="V137" s="619">
        <v>42.255812000000006</v>
      </c>
      <c r="W137" s="619">
        <v>633.8371800000001</v>
      </c>
    </row>
    <row r="138" spans="2:23">
      <c r="P138" s="619" t="s">
        <v>494</v>
      </c>
      <c r="Q138" s="624" t="s">
        <v>811</v>
      </c>
      <c r="R138" t="s">
        <v>406</v>
      </c>
      <c r="S138" t="s">
        <v>360</v>
      </c>
      <c r="T138" s="619" t="s">
        <v>2</v>
      </c>
      <c r="U138" s="619">
        <v>15</v>
      </c>
      <c r="V138" s="619">
        <v>54.250715999999997</v>
      </c>
      <c r="W138" s="619">
        <v>813.76073999999994</v>
      </c>
    </row>
    <row r="139" spans="2:23">
      <c r="P139" s="619" t="s">
        <v>495</v>
      </c>
      <c r="Q139" s="624" t="s">
        <v>812</v>
      </c>
      <c r="R139" t="s">
        <v>406</v>
      </c>
      <c r="S139" t="s">
        <v>359</v>
      </c>
      <c r="T139" s="619" t="s">
        <v>2</v>
      </c>
      <c r="U139" s="619">
        <v>15</v>
      </c>
      <c r="V139" s="619">
        <v>55.242690000000003</v>
      </c>
      <c r="W139" s="619">
        <v>828.64035000000001</v>
      </c>
    </row>
    <row r="140" spans="2:23">
      <c r="P140" s="619" t="s">
        <v>496</v>
      </c>
      <c r="Q140" s="624" t="s">
        <v>813</v>
      </c>
      <c r="R140" t="s">
        <v>406</v>
      </c>
      <c r="S140" t="s">
        <v>377</v>
      </c>
      <c r="T140" s="619" t="s">
        <v>2</v>
      </c>
      <c r="U140" s="619">
        <v>15</v>
      </c>
      <c r="V140" s="619">
        <v>4.321358</v>
      </c>
      <c r="W140" s="619">
        <v>64.820369999999997</v>
      </c>
    </row>
    <row r="141" spans="2:23">
      <c r="P141" s="619" t="s">
        <v>507</v>
      </c>
      <c r="Q141" s="624" t="s">
        <v>814</v>
      </c>
      <c r="R141" t="s">
        <v>406</v>
      </c>
      <c r="S141" t="s">
        <v>394</v>
      </c>
      <c r="T141" s="619" t="s">
        <v>433</v>
      </c>
      <c r="U141" s="619">
        <v>5</v>
      </c>
      <c r="V141" s="619">
        <v>91.215999999999994</v>
      </c>
      <c r="W141" s="619">
        <v>456.08</v>
      </c>
    </row>
    <row r="142" spans="2:23">
      <c r="P142" s="619" t="s">
        <v>508</v>
      </c>
      <c r="Q142" s="624" t="s">
        <v>815</v>
      </c>
      <c r="R142" t="s">
        <v>406</v>
      </c>
      <c r="S142" t="s">
        <v>393</v>
      </c>
      <c r="T142" s="619" t="s">
        <v>433</v>
      </c>
      <c r="U142" s="619">
        <v>3</v>
      </c>
      <c r="V142" s="619">
        <v>91.215999999999994</v>
      </c>
      <c r="W142" s="619">
        <v>273.64799999999997</v>
      </c>
    </row>
    <row r="143" spans="2:23">
      <c r="P143" s="619" t="s">
        <v>509</v>
      </c>
      <c r="Q143" s="624" t="s">
        <v>816</v>
      </c>
      <c r="R143" t="s">
        <v>406</v>
      </c>
      <c r="S143" t="s">
        <v>428</v>
      </c>
      <c r="T143" s="619" t="s">
        <v>433</v>
      </c>
      <c r="U143" s="619">
        <v>20</v>
      </c>
      <c r="V143" s="619">
        <v>5.6325880000000002</v>
      </c>
      <c r="W143" s="619">
        <v>112.65176</v>
      </c>
    </row>
    <row r="144" spans="2:23">
      <c r="P144" s="619" t="s">
        <v>510</v>
      </c>
      <c r="Q144" s="624" t="s">
        <v>817</v>
      </c>
      <c r="R144" t="s">
        <v>406</v>
      </c>
      <c r="S144" t="s">
        <v>367</v>
      </c>
      <c r="T144" s="619" t="s">
        <v>433</v>
      </c>
      <c r="U144" s="619">
        <v>5</v>
      </c>
      <c r="V144" s="619">
        <v>20.523600000000002</v>
      </c>
      <c r="W144" s="619">
        <v>102.61800000000001</v>
      </c>
    </row>
    <row r="145" spans="19:23">
      <c r="S145" t="s">
        <v>514</v>
      </c>
      <c r="W145" s="619">
        <v>42495.333814000034</v>
      </c>
    </row>
  </sheetData>
  <autoFilter ref="A2:D121">
    <sortState ref="A3:D127">
      <sortCondition descending="1" ref="C2:C121"/>
    </sortState>
  </autoFilter>
  <sortState ref="A4:N2292">
    <sortCondition descending="1" ref="C4:C2292"/>
  </sortState>
  <printOptions horizontalCentered="1"/>
  <pageMargins left="0.31496062992125984" right="0.31496062992125984" top="0.39370078740157483" bottom="0.19685039370078741" header="0.39370078740157483" footer="0.19685039370078741"/>
  <pageSetup paperSize="9" scale="60" orientation="portrait" r:id="rId1"/>
  <headerFooter>
    <oddFooter>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4"/>
  <dimension ref="A1:Q213"/>
  <sheetViews>
    <sheetView zoomScale="70" zoomScaleNormal="70" workbookViewId="0">
      <selection activeCell="G14" sqref="G14"/>
    </sheetView>
  </sheetViews>
  <sheetFormatPr defaultRowHeight="15"/>
  <cols>
    <col min="1" max="1" width="8.28515625" style="179" customWidth="1"/>
    <col min="2" max="2" width="114.140625" style="178" customWidth="1"/>
    <col min="3" max="3" width="17.7109375" style="233" customWidth="1"/>
    <col min="4" max="4" width="20.28515625" style="255" customWidth="1"/>
    <col min="5" max="5" width="21.7109375" style="254" customWidth="1"/>
    <col min="6" max="6" width="18.7109375" style="234" customWidth="1"/>
    <col min="7" max="7" width="18.7109375" style="192" customWidth="1"/>
    <col min="8" max="8" width="18.7109375" style="234" customWidth="1"/>
    <col min="9" max="9" width="19.140625" style="192" customWidth="1"/>
    <col min="10" max="10" width="18.7109375" style="233" customWidth="1"/>
    <col min="11" max="17" width="18.7109375" style="234" customWidth="1"/>
  </cols>
  <sheetData>
    <row r="1" spans="1:17" ht="15.75" thickBot="1">
      <c r="C1" s="180"/>
      <c r="D1" s="181"/>
      <c r="E1" s="182"/>
      <c r="F1" s="183"/>
      <c r="G1" s="184"/>
      <c r="H1" s="183"/>
      <c r="I1" s="184"/>
      <c r="J1" s="180"/>
      <c r="K1" s="183"/>
      <c r="L1" s="183"/>
      <c r="M1" s="183"/>
      <c r="N1" s="183"/>
      <c r="O1" s="185"/>
      <c r="P1" s="183"/>
      <c r="Q1" s="183"/>
    </row>
    <row r="2" spans="1:17" ht="24" thickBot="1">
      <c r="A2" s="876" t="s">
        <v>267</v>
      </c>
      <c r="B2" s="877"/>
      <c r="C2" s="877"/>
      <c r="D2" s="877"/>
      <c r="E2" s="877"/>
      <c r="F2" s="877"/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8"/>
    </row>
    <row r="3" spans="1:17" ht="30.75" customHeight="1" thickBot="1">
      <c r="A3" s="186"/>
      <c r="B3" s="187"/>
      <c r="C3" s="879" t="s">
        <v>822</v>
      </c>
      <c r="D3" s="880"/>
      <c r="E3" s="880"/>
      <c r="F3" s="880"/>
      <c r="G3" s="880"/>
      <c r="H3" s="880"/>
      <c r="I3" s="880"/>
      <c r="J3" s="880"/>
      <c r="K3" s="881"/>
      <c r="L3" s="882" t="s">
        <v>466</v>
      </c>
      <c r="M3" s="883"/>
      <c r="N3" s="883"/>
      <c r="O3" s="883"/>
      <c r="P3" s="884"/>
      <c r="Q3" s="188" t="s">
        <v>268</v>
      </c>
    </row>
    <row r="4" spans="1:17" ht="34.5" customHeight="1" thickBot="1">
      <c r="A4" s="189"/>
      <c r="B4" s="190"/>
      <c r="C4" s="888" t="s">
        <v>823</v>
      </c>
      <c r="D4" s="889"/>
      <c r="E4" s="889"/>
      <c r="F4" s="889"/>
      <c r="G4" s="889"/>
      <c r="H4" s="889"/>
      <c r="I4" s="890"/>
      <c r="J4" s="891" t="s">
        <v>821</v>
      </c>
      <c r="K4" s="892"/>
      <c r="L4" s="885"/>
      <c r="M4" s="886"/>
      <c r="N4" s="886"/>
      <c r="O4" s="886"/>
      <c r="P4" s="887"/>
      <c r="Q4" s="191" t="s">
        <v>467</v>
      </c>
    </row>
    <row r="5" spans="1:17" ht="26.25" customHeight="1">
      <c r="A5" s="189"/>
      <c r="B5" s="190"/>
      <c r="C5" s="864" t="s">
        <v>269</v>
      </c>
      <c r="D5" s="865"/>
      <c r="E5" s="866"/>
      <c r="F5" s="867" t="s">
        <v>497</v>
      </c>
      <c r="G5" s="867"/>
      <c r="H5" s="867"/>
      <c r="I5" s="867"/>
      <c r="J5" s="869" t="s">
        <v>270</v>
      </c>
      <c r="K5" s="869"/>
      <c r="L5" s="871" t="s">
        <v>324</v>
      </c>
      <c r="M5" s="871"/>
      <c r="N5" s="871"/>
      <c r="O5" s="871"/>
      <c r="P5" s="871"/>
      <c r="Q5" s="871"/>
    </row>
    <row r="6" spans="1:17" ht="28.5" customHeight="1" thickBot="1">
      <c r="A6" s="193"/>
      <c r="B6" s="194"/>
      <c r="C6" s="873">
        <f>E30</f>
        <v>889040.92684253014</v>
      </c>
      <c r="D6" s="874"/>
      <c r="E6" s="875"/>
      <c r="F6" s="868"/>
      <c r="G6" s="868"/>
      <c r="H6" s="868"/>
      <c r="I6" s="868"/>
      <c r="J6" s="870"/>
      <c r="K6" s="870"/>
      <c r="L6" s="872"/>
      <c r="M6" s="872"/>
      <c r="N6" s="872"/>
      <c r="O6" s="872"/>
      <c r="P6" s="872"/>
      <c r="Q6" s="872"/>
    </row>
    <row r="7" spans="1:17" ht="16.5" thickBot="1">
      <c r="A7" s="857" t="s">
        <v>271</v>
      </c>
      <c r="B7" s="859" t="s">
        <v>272</v>
      </c>
      <c r="C7" s="861" t="s">
        <v>227</v>
      </c>
      <c r="D7" s="862" t="s">
        <v>273</v>
      </c>
      <c r="E7" s="863" t="s">
        <v>274</v>
      </c>
      <c r="F7" s="195" t="s">
        <v>275</v>
      </c>
      <c r="G7" s="195" t="s">
        <v>276</v>
      </c>
      <c r="H7" s="195" t="s">
        <v>277</v>
      </c>
      <c r="I7" s="195" t="s">
        <v>278</v>
      </c>
      <c r="J7" s="195" t="s">
        <v>279</v>
      </c>
      <c r="K7" s="195" t="s">
        <v>280</v>
      </c>
      <c r="L7" s="196" t="s">
        <v>281</v>
      </c>
      <c r="M7" s="196" t="s">
        <v>282</v>
      </c>
      <c r="N7" s="196" t="s">
        <v>283</v>
      </c>
      <c r="O7" s="197" t="s">
        <v>284</v>
      </c>
      <c r="P7" s="196" t="s">
        <v>285</v>
      </c>
      <c r="Q7" s="198" t="s">
        <v>286</v>
      </c>
    </row>
    <row r="8" spans="1:17" ht="15.75" thickBot="1">
      <c r="A8" s="858"/>
      <c r="B8" s="860"/>
      <c r="C8" s="861"/>
      <c r="D8" s="862"/>
      <c r="E8" s="863"/>
      <c r="F8" s="199" t="s">
        <v>287</v>
      </c>
      <c r="G8" s="200" t="s">
        <v>288</v>
      </c>
      <c r="H8" s="200" t="s">
        <v>289</v>
      </c>
      <c r="I8" s="200" t="s">
        <v>290</v>
      </c>
      <c r="J8" s="200" t="s">
        <v>291</v>
      </c>
      <c r="K8" s="200" t="s">
        <v>292</v>
      </c>
      <c r="L8" s="200" t="s">
        <v>293</v>
      </c>
      <c r="M8" s="200" t="s">
        <v>294</v>
      </c>
      <c r="N8" s="200" t="s">
        <v>295</v>
      </c>
      <c r="O8" s="201" t="s">
        <v>296</v>
      </c>
      <c r="P8" s="200" t="s">
        <v>297</v>
      </c>
      <c r="Q8" s="202" t="s">
        <v>298</v>
      </c>
    </row>
    <row r="9" spans="1:17">
      <c r="A9" s="820" t="s">
        <v>18</v>
      </c>
      <c r="B9" s="841" t="s">
        <v>299</v>
      </c>
      <c r="C9" s="854">
        <f>E9/E30</f>
        <v>4.1947094755746155E-4</v>
      </c>
      <c r="D9" s="855">
        <v>1.5E-3</v>
      </c>
      <c r="E9" s="856">
        <f>'ANEXO V- Planilha Orçamentária'!H13</f>
        <v>372.92683999999997</v>
      </c>
      <c r="F9" s="203">
        <v>0.09</v>
      </c>
      <c r="G9" s="204">
        <v>8.5000000000000006E-2</v>
      </c>
      <c r="H9" s="205">
        <v>8.5000000000000006E-2</v>
      </c>
      <c r="I9" s="204">
        <v>8.5000000000000006E-2</v>
      </c>
      <c r="J9" s="204">
        <v>8.5000000000000006E-2</v>
      </c>
      <c r="K9" s="205">
        <v>8.5000000000000006E-2</v>
      </c>
      <c r="L9" s="205">
        <v>8.5000000000000006E-2</v>
      </c>
      <c r="M9" s="205">
        <v>8.5000000000000006E-2</v>
      </c>
      <c r="N9" s="205">
        <v>8.5000000000000006E-2</v>
      </c>
      <c r="O9" s="206">
        <v>8.5000000000000006E-2</v>
      </c>
      <c r="P9" s="205">
        <v>8.5000000000000006E-2</v>
      </c>
      <c r="Q9" s="207">
        <v>0.06</v>
      </c>
    </row>
    <row r="10" spans="1:17" ht="15.75">
      <c r="A10" s="820"/>
      <c r="B10" s="841"/>
      <c r="C10" s="823"/>
      <c r="D10" s="835"/>
      <c r="E10" s="852"/>
      <c r="F10" s="208"/>
      <c r="G10" s="209"/>
      <c r="H10" s="209"/>
      <c r="I10" s="210"/>
      <c r="J10" s="210"/>
      <c r="K10" s="210"/>
      <c r="L10" s="211"/>
      <c r="M10" s="211"/>
      <c r="N10" s="211"/>
      <c r="O10" s="212"/>
      <c r="P10" s="211"/>
      <c r="Q10" s="213"/>
    </row>
    <row r="11" spans="1:17" ht="15.75">
      <c r="A11" s="820"/>
      <c r="B11" s="853"/>
      <c r="C11" s="823"/>
      <c r="D11" s="836"/>
      <c r="E11" s="839"/>
      <c r="F11" s="214">
        <f>E9*F9</f>
        <v>33.563415599999999</v>
      </c>
      <c r="G11" s="214">
        <f>G9*E9</f>
        <v>31.698781400000001</v>
      </c>
      <c r="H11" s="214">
        <f>G9*E9</f>
        <v>31.698781400000001</v>
      </c>
      <c r="I11" s="214">
        <f>I9*E9</f>
        <v>31.698781400000001</v>
      </c>
      <c r="J11" s="214">
        <f>I9*E9</f>
        <v>31.698781400000001</v>
      </c>
      <c r="K11" s="214">
        <f>K9*E9</f>
        <v>31.698781400000001</v>
      </c>
      <c r="L11" s="214">
        <f>K9*E9</f>
        <v>31.698781400000001</v>
      </c>
      <c r="M11" s="214">
        <f>M9*E9</f>
        <v>31.698781400000001</v>
      </c>
      <c r="N11" s="214">
        <f>M9*E9</f>
        <v>31.698781400000001</v>
      </c>
      <c r="O11" s="214">
        <f>O9*E9</f>
        <v>31.698781400000001</v>
      </c>
      <c r="P11" s="214">
        <f>O9*E9</f>
        <v>31.698781400000001</v>
      </c>
      <c r="Q11" s="215">
        <f>Q9*E9</f>
        <v>22.375610399999996</v>
      </c>
    </row>
    <row r="12" spans="1:17">
      <c r="A12" s="845" t="s">
        <v>300</v>
      </c>
      <c r="B12" s="846" t="s">
        <v>301</v>
      </c>
      <c r="C12" s="849">
        <f>E12/E30</f>
        <v>7.6006491948563279E-2</v>
      </c>
      <c r="D12" s="834">
        <f>C12+D9</f>
        <v>7.750649194856328E-2</v>
      </c>
      <c r="E12" s="837">
        <f>'ANEXO V- Planilha Orçamentária'!H22</f>
        <v>67572.882047999999</v>
      </c>
      <c r="F12" s="216">
        <v>0.09</v>
      </c>
      <c r="G12" s="217">
        <v>8.5000000000000006E-2</v>
      </c>
      <c r="H12" s="218">
        <v>8.5000000000000006E-2</v>
      </c>
      <c r="I12" s="217">
        <v>8.5000000000000006E-2</v>
      </c>
      <c r="J12" s="219">
        <v>8.5000000000000006E-2</v>
      </c>
      <c r="K12" s="218">
        <v>8.5000000000000006E-2</v>
      </c>
      <c r="L12" s="220">
        <v>8.5000000000000006E-2</v>
      </c>
      <c r="M12" s="220">
        <v>8.5000000000000006E-2</v>
      </c>
      <c r="N12" s="220">
        <v>8.5000000000000006E-2</v>
      </c>
      <c r="O12" s="221">
        <v>8.5000000000000006E-2</v>
      </c>
      <c r="P12" s="220">
        <v>8.5000000000000006E-2</v>
      </c>
      <c r="Q12" s="222">
        <v>0.06</v>
      </c>
    </row>
    <row r="13" spans="1:17" ht="15.75">
      <c r="A13" s="845"/>
      <c r="B13" s="847"/>
      <c r="C13" s="850"/>
      <c r="D13" s="835"/>
      <c r="E13" s="852"/>
      <c r="F13" s="208"/>
      <c r="G13" s="209"/>
      <c r="H13" s="209"/>
      <c r="I13" s="209"/>
      <c r="J13" s="209"/>
      <c r="K13" s="209"/>
      <c r="L13" s="211"/>
      <c r="M13" s="211"/>
      <c r="N13" s="211"/>
      <c r="O13" s="223"/>
      <c r="P13" s="211"/>
      <c r="Q13" s="224"/>
    </row>
    <row r="14" spans="1:17" ht="15.75">
      <c r="A14" s="845"/>
      <c r="B14" s="848"/>
      <c r="C14" s="851"/>
      <c r="D14" s="836"/>
      <c r="E14" s="839"/>
      <c r="F14" s="225">
        <f>F12*E12</f>
        <v>6081.5593843199995</v>
      </c>
      <c r="G14" s="214">
        <f>G12*E12</f>
        <v>5743.6949740800001</v>
      </c>
      <c r="H14" s="214">
        <f>G12*E12</f>
        <v>5743.6949740800001</v>
      </c>
      <c r="I14" s="214">
        <f>I12*E12</f>
        <v>5743.6949740800001</v>
      </c>
      <c r="J14" s="214">
        <f>I12*E12</f>
        <v>5743.6949740800001</v>
      </c>
      <c r="K14" s="214">
        <f>K12*E12</f>
        <v>5743.6949740800001</v>
      </c>
      <c r="L14" s="214">
        <f>K12*E12</f>
        <v>5743.6949740800001</v>
      </c>
      <c r="M14" s="214">
        <f>M12*E12</f>
        <v>5743.6949740800001</v>
      </c>
      <c r="N14" s="214">
        <f>M12*E12</f>
        <v>5743.6949740800001</v>
      </c>
      <c r="O14" s="214">
        <f>O12*E12</f>
        <v>5743.6949740800001</v>
      </c>
      <c r="P14" s="214">
        <f>O12*E12</f>
        <v>5743.6949740800001</v>
      </c>
      <c r="Q14" s="215">
        <f>Q12*E12</f>
        <v>4054.3729228799998</v>
      </c>
    </row>
    <row r="15" spans="1:17">
      <c r="A15" s="820" t="s">
        <v>302</v>
      </c>
      <c r="B15" s="840" t="s">
        <v>464</v>
      </c>
      <c r="C15" s="822">
        <f>E15/E30</f>
        <v>0.21811561637426216</v>
      </c>
      <c r="D15" s="842">
        <f>C15+D12</f>
        <v>0.29562210832282543</v>
      </c>
      <c r="E15" s="837">
        <f>'ANEXO V- Planilha Orçamentária'!H31</f>
        <v>193913.70974020378</v>
      </c>
      <c r="F15" s="226">
        <v>8.3299999999999999E-2</v>
      </c>
      <c r="G15" s="227">
        <v>8.3299999999999999E-2</v>
      </c>
      <c r="H15" s="220">
        <v>8.3299999999999999E-2</v>
      </c>
      <c r="I15" s="227">
        <v>8.3299999999999999E-2</v>
      </c>
      <c r="J15" s="228">
        <v>8.3299999999999999E-2</v>
      </c>
      <c r="K15" s="218">
        <v>8.3299999999999999E-2</v>
      </c>
      <c r="L15" s="220">
        <v>8.3299999999999999E-2</v>
      </c>
      <c r="M15" s="220">
        <v>8.3299999999999999E-2</v>
      </c>
      <c r="N15" s="220">
        <v>8.3400000000000002E-2</v>
      </c>
      <c r="O15" s="229">
        <v>8.3400000000000002E-2</v>
      </c>
      <c r="P15" s="220">
        <v>8.3400000000000002E-2</v>
      </c>
      <c r="Q15" s="222">
        <v>8.3400000000000002E-2</v>
      </c>
    </row>
    <row r="16" spans="1:17" ht="15.75">
      <c r="A16" s="820"/>
      <c r="B16" s="841"/>
      <c r="C16" s="823"/>
      <c r="D16" s="843"/>
      <c r="E16" s="838"/>
      <c r="F16" s="208"/>
      <c r="G16" s="209"/>
      <c r="H16" s="211"/>
      <c r="I16" s="209"/>
      <c r="J16" s="209"/>
      <c r="K16" s="209"/>
      <c r="L16" s="209"/>
      <c r="M16" s="211"/>
      <c r="N16" s="211"/>
      <c r="O16" s="230"/>
      <c r="P16" s="211"/>
      <c r="Q16" s="224"/>
    </row>
    <row r="17" spans="1:17" ht="15.75">
      <c r="A17" s="820"/>
      <c r="B17" s="841"/>
      <c r="C17" s="824"/>
      <c r="D17" s="844"/>
      <c r="E17" s="839"/>
      <c r="F17" s="225">
        <f>F15*E15</f>
        <v>16153.012021358974</v>
      </c>
      <c r="G17" s="214">
        <f>G15*E15</f>
        <v>16153.012021358974</v>
      </c>
      <c r="H17" s="214">
        <f>G15*E15</f>
        <v>16153.012021358974</v>
      </c>
      <c r="I17" s="214">
        <f>I15*E15</f>
        <v>16153.012021358974</v>
      </c>
      <c r="J17" s="214">
        <f>I15*E15</f>
        <v>16153.012021358974</v>
      </c>
      <c r="K17" s="214">
        <f>K15*E15</f>
        <v>16153.012021358974</v>
      </c>
      <c r="L17" s="214">
        <f>K15*E15</f>
        <v>16153.012021358974</v>
      </c>
      <c r="M17" s="214">
        <f>M15*E15</f>
        <v>16153.012021358974</v>
      </c>
      <c r="N17" s="214">
        <f>N15*E15</f>
        <v>16172.403392332995</v>
      </c>
      <c r="O17" s="214">
        <f>O15*E15</f>
        <v>16172.403392332995</v>
      </c>
      <c r="P17" s="214">
        <f>O15*E15</f>
        <v>16172.403392332995</v>
      </c>
      <c r="Q17" s="215">
        <f>Q15*E15</f>
        <v>16172.403392332995</v>
      </c>
    </row>
    <row r="18" spans="1:17">
      <c r="A18" s="820" t="s">
        <v>303</v>
      </c>
      <c r="B18" s="821" t="s">
        <v>465</v>
      </c>
      <c r="C18" s="822">
        <f>E18/E30</f>
        <v>0.55834039632356336</v>
      </c>
      <c r="D18" s="834">
        <f>C18+D15</f>
        <v>0.85396250464638879</v>
      </c>
      <c r="E18" s="837">
        <f>'ANEXO V- Planilha Orçamentária'!H37</f>
        <v>496387.4634411264</v>
      </c>
      <c r="F18" s="226">
        <v>0.08</v>
      </c>
      <c r="G18" s="227">
        <v>0.09</v>
      </c>
      <c r="H18" s="220">
        <v>0.1</v>
      </c>
      <c r="I18" s="227">
        <v>0.09</v>
      </c>
      <c r="J18" s="228">
        <v>7.0000000000000007E-2</v>
      </c>
      <c r="K18" s="218">
        <v>7.0000000000000007E-2</v>
      </c>
      <c r="L18" s="220">
        <v>0.09</v>
      </c>
      <c r="M18" s="220">
        <v>0.08</v>
      </c>
      <c r="N18" s="220">
        <v>0.08</v>
      </c>
      <c r="O18" s="231">
        <v>0.1</v>
      </c>
      <c r="P18" s="220">
        <v>7.0000000000000007E-2</v>
      </c>
      <c r="Q18" s="222">
        <v>0.08</v>
      </c>
    </row>
    <row r="19" spans="1:17" ht="15.75">
      <c r="A19" s="820"/>
      <c r="B19" s="821"/>
      <c r="C19" s="823"/>
      <c r="D19" s="835"/>
      <c r="E19" s="838"/>
      <c r="F19" s="208"/>
      <c r="G19" s="209"/>
      <c r="H19" s="209"/>
      <c r="I19" s="209"/>
      <c r="J19" s="209"/>
      <c r="K19" s="209"/>
      <c r="L19" s="211"/>
      <c r="M19" s="211"/>
      <c r="N19" s="211"/>
      <c r="O19" s="230"/>
      <c r="P19" s="211"/>
      <c r="Q19" s="224"/>
    </row>
    <row r="20" spans="1:17" ht="15.75">
      <c r="A20" s="820"/>
      <c r="B20" s="821"/>
      <c r="C20" s="824"/>
      <c r="D20" s="836"/>
      <c r="E20" s="839"/>
      <c r="F20" s="225">
        <f>F18*E18</f>
        <v>39710.997075290114</v>
      </c>
      <c r="G20" s="214">
        <f>G18*E18</f>
        <v>44674.871709701372</v>
      </c>
      <c r="H20" s="214">
        <f>H18*E18</f>
        <v>49638.746344112646</v>
      </c>
      <c r="I20" s="214">
        <f>I18*E18</f>
        <v>44674.871709701372</v>
      </c>
      <c r="J20" s="214">
        <f>J18*E18</f>
        <v>34747.122440878848</v>
      </c>
      <c r="K20" s="214">
        <f>K18*E18</f>
        <v>34747.122440878848</v>
      </c>
      <c r="L20" s="214">
        <f>L18*E18</f>
        <v>44674.871709701372</v>
      </c>
      <c r="M20" s="214">
        <f>M18*E18</f>
        <v>39710.997075290114</v>
      </c>
      <c r="N20" s="214">
        <f>N18*E18</f>
        <v>39710.997075290114</v>
      </c>
      <c r="O20" s="214">
        <f>O18*E18</f>
        <v>49638.746344112646</v>
      </c>
      <c r="P20" s="214">
        <f>P18*E18</f>
        <v>34747.122440878848</v>
      </c>
      <c r="Q20" s="215">
        <f>Q18*E18</f>
        <v>39710.997075290114</v>
      </c>
    </row>
    <row r="21" spans="1:17">
      <c r="A21" s="820" t="s">
        <v>304</v>
      </c>
      <c r="B21" s="821" t="s">
        <v>411</v>
      </c>
      <c r="C21" s="822">
        <f>E21/E30</f>
        <v>7.6696165718001114E-2</v>
      </c>
      <c r="D21" s="825">
        <f>C21+D18</f>
        <v>0.93065867036438987</v>
      </c>
      <c r="E21" s="828">
        <f>'ANEXO V- Planilha Orçamentária'!H90</f>
        <v>68186.030255199992</v>
      </c>
      <c r="F21" s="226">
        <v>0.09</v>
      </c>
      <c r="G21" s="227">
        <v>0.1</v>
      </c>
      <c r="H21" s="220">
        <v>0.08</v>
      </c>
      <c r="I21" s="227">
        <v>7.0000000000000007E-2</v>
      </c>
      <c r="J21" s="228">
        <v>0.08</v>
      </c>
      <c r="K21" s="220">
        <v>0.09</v>
      </c>
      <c r="L21" s="220">
        <v>0.08</v>
      </c>
      <c r="M21" s="220">
        <v>0.1</v>
      </c>
      <c r="N21" s="220">
        <v>0.08</v>
      </c>
      <c r="O21" s="229">
        <v>0.08</v>
      </c>
      <c r="P21" s="220">
        <v>0.08</v>
      </c>
      <c r="Q21" s="222">
        <v>7.0000000000000007E-2</v>
      </c>
    </row>
    <row r="22" spans="1:17" ht="15.75">
      <c r="A22" s="820"/>
      <c r="B22" s="821"/>
      <c r="C22" s="823"/>
      <c r="D22" s="826"/>
      <c r="E22" s="829"/>
      <c r="F22" s="208"/>
      <c r="G22" s="209"/>
      <c r="H22" s="209"/>
      <c r="I22" s="209"/>
      <c r="J22" s="209"/>
      <c r="K22" s="209"/>
      <c r="L22" s="211"/>
      <c r="M22" s="211"/>
      <c r="N22" s="211"/>
      <c r="O22" s="230"/>
      <c r="P22" s="211"/>
      <c r="Q22" s="224"/>
    </row>
    <row r="23" spans="1:17" ht="15.75">
      <c r="A23" s="820"/>
      <c r="B23" s="821"/>
      <c r="C23" s="824"/>
      <c r="D23" s="827"/>
      <c r="E23" s="830"/>
      <c r="F23" s="225">
        <f>F21*E21</f>
        <v>6136.7427229679988</v>
      </c>
      <c r="G23" s="214">
        <f>G21*E21</f>
        <v>6818.6030255199994</v>
      </c>
      <c r="H23" s="214">
        <f>H21*E21</f>
        <v>5454.8824204159991</v>
      </c>
      <c r="I23" s="214">
        <f>I21*E21</f>
        <v>4773.0221178639995</v>
      </c>
      <c r="J23" s="214">
        <f>J21*E21</f>
        <v>5454.8824204159991</v>
      </c>
      <c r="K23" s="214">
        <f>K21*E21</f>
        <v>6136.7427229679988</v>
      </c>
      <c r="L23" s="214">
        <f>L21*E21</f>
        <v>5454.8824204159991</v>
      </c>
      <c r="M23" s="214">
        <f>M21*E21</f>
        <v>6818.6030255199994</v>
      </c>
      <c r="N23" s="214">
        <f>N21*E21</f>
        <v>5454.8824204159991</v>
      </c>
      <c r="O23" s="214">
        <f>O21*E21</f>
        <v>5454.8824204159991</v>
      </c>
      <c r="P23" s="214">
        <f>P21*E21</f>
        <v>5454.8824204159991</v>
      </c>
      <c r="Q23" s="215">
        <f>Q21*E21</f>
        <v>4773.0221178639995</v>
      </c>
    </row>
    <row r="24" spans="1:17">
      <c r="A24" s="820" t="s">
        <v>305</v>
      </c>
      <c r="B24" s="831" t="s">
        <v>357</v>
      </c>
      <c r="C24" s="822">
        <f>E24/E30</f>
        <v>2.2622783830020917E-2</v>
      </c>
      <c r="D24" s="825">
        <f>C24+D21</f>
        <v>0.95328145419441079</v>
      </c>
      <c r="E24" s="828">
        <f>'ANEXO V- Planilha Orçamentária'!H75</f>
        <v>20112.580704</v>
      </c>
      <c r="F24" s="226">
        <v>0.1</v>
      </c>
      <c r="G24" s="227">
        <v>0.08</v>
      </c>
      <c r="H24" s="220">
        <v>0.09</v>
      </c>
      <c r="I24" s="227">
        <v>0.08</v>
      </c>
      <c r="J24" s="228">
        <v>7.0000000000000007E-2</v>
      </c>
      <c r="K24" s="220">
        <v>7.0000000000000007E-2</v>
      </c>
      <c r="L24" s="220">
        <v>0.08</v>
      </c>
      <c r="M24" s="220">
        <v>0.1</v>
      </c>
      <c r="N24" s="220">
        <v>0.08</v>
      </c>
      <c r="O24" s="229">
        <v>0.09</v>
      </c>
      <c r="P24" s="220">
        <v>0.08</v>
      </c>
      <c r="Q24" s="222">
        <v>0.08</v>
      </c>
    </row>
    <row r="25" spans="1:17" ht="15.75">
      <c r="A25" s="820"/>
      <c r="B25" s="832"/>
      <c r="C25" s="823"/>
      <c r="D25" s="826"/>
      <c r="E25" s="829"/>
      <c r="F25" s="208"/>
      <c r="G25" s="209"/>
      <c r="H25" s="209"/>
      <c r="I25" s="209"/>
      <c r="J25" s="209"/>
      <c r="K25" s="209"/>
      <c r="L25" s="211"/>
      <c r="M25" s="211"/>
      <c r="N25" s="211"/>
      <c r="O25" s="230"/>
      <c r="P25" s="211"/>
      <c r="Q25" s="224"/>
    </row>
    <row r="26" spans="1:17" ht="15.75">
      <c r="A26" s="820"/>
      <c r="B26" s="833"/>
      <c r="C26" s="824"/>
      <c r="D26" s="827"/>
      <c r="E26" s="830"/>
      <c r="F26" s="225">
        <f>F24*E24</f>
        <v>2011.2580704000002</v>
      </c>
      <c r="G26" s="214">
        <f>G24*E24</f>
        <v>1609.0064563200001</v>
      </c>
      <c r="H26" s="214">
        <f>H24*E24</f>
        <v>1810.13226336</v>
      </c>
      <c r="I26" s="214">
        <f>I24*E24</f>
        <v>1609.0064563200001</v>
      </c>
      <c r="J26" s="214">
        <f>J24*E24</f>
        <v>1407.8806492800002</v>
      </c>
      <c r="K26" s="214">
        <f>K24*E24</f>
        <v>1407.8806492800002</v>
      </c>
      <c r="L26" s="214">
        <f>L24*E24</f>
        <v>1609.0064563200001</v>
      </c>
      <c r="M26" s="214">
        <f>M24*E24</f>
        <v>2011.2580704000002</v>
      </c>
      <c r="N26" s="214">
        <f>N24*E24</f>
        <v>1609.0064563200001</v>
      </c>
      <c r="O26" s="214">
        <f>O24*E24</f>
        <v>1810.13226336</v>
      </c>
      <c r="P26" s="214">
        <f>P24*E24</f>
        <v>1609.0064563200001</v>
      </c>
      <c r="Q26" s="215">
        <f>Q24*E24</f>
        <v>1609.0064563200001</v>
      </c>
    </row>
    <row r="27" spans="1:17">
      <c r="A27" s="820" t="s">
        <v>306</v>
      </c>
      <c r="B27" s="821" t="s">
        <v>358</v>
      </c>
      <c r="C27" s="822">
        <f>E27/E30</f>
        <v>4.7799074858031761E-2</v>
      </c>
      <c r="D27" s="825">
        <f>C27+D24</f>
        <v>1.0010805290524425</v>
      </c>
      <c r="E27" s="828">
        <f>'ANEXO V- Planilha Orçamentária'!H153</f>
        <v>42495.333814000034</v>
      </c>
      <c r="F27" s="232">
        <v>0.08</v>
      </c>
      <c r="G27" s="227">
        <v>0.08</v>
      </c>
      <c r="H27" s="220">
        <v>0.09</v>
      </c>
      <c r="I27" s="227">
        <v>7.0000000000000007E-2</v>
      </c>
      <c r="J27" s="228">
        <v>0.09</v>
      </c>
      <c r="K27" s="220">
        <v>0.1</v>
      </c>
      <c r="L27" s="220">
        <v>0.09</v>
      </c>
      <c r="M27" s="220">
        <v>7.0000000000000007E-2</v>
      </c>
      <c r="N27" s="220">
        <v>0.08</v>
      </c>
      <c r="O27" s="229">
        <v>0.09</v>
      </c>
      <c r="P27" s="220">
        <v>7.0000000000000007E-2</v>
      </c>
      <c r="Q27" s="222">
        <v>0.09</v>
      </c>
    </row>
    <row r="28" spans="1:17" ht="15.75">
      <c r="A28" s="820"/>
      <c r="B28" s="821"/>
      <c r="C28" s="823"/>
      <c r="D28" s="826"/>
      <c r="E28" s="829"/>
      <c r="F28" s="208"/>
      <c r="G28" s="209"/>
      <c r="H28" s="209"/>
      <c r="I28" s="209"/>
      <c r="J28" s="209"/>
      <c r="K28" s="209"/>
      <c r="L28" s="211"/>
      <c r="M28" s="211"/>
      <c r="N28" s="211"/>
      <c r="O28" s="230"/>
      <c r="P28" s="211"/>
      <c r="Q28" s="224"/>
    </row>
    <row r="29" spans="1:17" ht="16.5" thickBot="1">
      <c r="A29" s="820"/>
      <c r="B29" s="821"/>
      <c r="C29" s="824"/>
      <c r="D29" s="827"/>
      <c r="E29" s="830"/>
      <c r="F29" s="225">
        <f>F27*E27</f>
        <v>3399.626705120003</v>
      </c>
      <c r="G29" s="214">
        <f>G27*E27</f>
        <v>3399.626705120003</v>
      </c>
      <c r="H29" s="214">
        <f>H27*E27</f>
        <v>3824.5800432600031</v>
      </c>
      <c r="I29" s="214">
        <f>I27*E27</f>
        <v>2974.6733669800028</v>
      </c>
      <c r="J29" s="214">
        <f>J27*E27</f>
        <v>3824.5800432600031</v>
      </c>
      <c r="K29" s="214">
        <f>K27*E27</f>
        <v>4249.5333814000032</v>
      </c>
      <c r="L29" s="214">
        <f>L27*E27</f>
        <v>3824.5800432600031</v>
      </c>
      <c r="M29" s="214">
        <f>M27*E27</f>
        <v>2974.6733669800028</v>
      </c>
      <c r="N29" s="214">
        <f>N27*E27</f>
        <v>3399.626705120003</v>
      </c>
      <c r="O29" s="214">
        <f>O27*E27</f>
        <v>3824.5800432600031</v>
      </c>
      <c r="P29" s="214">
        <f>P27*E27</f>
        <v>2974.6733669800028</v>
      </c>
      <c r="Q29" s="215">
        <f>Q27*E27</f>
        <v>3824.5800432600031</v>
      </c>
    </row>
    <row r="30" spans="1:17" ht="30.75" customHeight="1" thickBot="1">
      <c r="A30" s="818" t="s">
        <v>307</v>
      </c>
      <c r="B30" s="819"/>
      <c r="C30" s="236" t="s">
        <v>308</v>
      </c>
      <c r="D30" s="237">
        <v>1</v>
      </c>
      <c r="E30" s="238">
        <f>SUM(E9:E29)</f>
        <v>889040.92684253014</v>
      </c>
      <c r="F30" s="239">
        <f>F29+F26+F23+F20+F17+F14+F11</f>
        <v>73526.759395057088</v>
      </c>
      <c r="G30" s="240">
        <f t="shared" ref="G30:Q30" si="0">SUM(G29,G26,G23,G20,G17,G14,G11)</f>
        <v>78430.513673500347</v>
      </c>
      <c r="H30" s="241">
        <f t="shared" si="0"/>
        <v>82656.746847987626</v>
      </c>
      <c r="I30" s="240">
        <f t="shared" si="0"/>
        <v>75959.979427704355</v>
      </c>
      <c r="J30" s="242">
        <f t="shared" si="0"/>
        <v>67362.871330673821</v>
      </c>
      <c r="K30" s="241">
        <f t="shared" si="0"/>
        <v>68469.68497136583</v>
      </c>
      <c r="L30" s="241">
        <f t="shared" si="0"/>
        <v>77491.746406536346</v>
      </c>
      <c r="M30" s="241">
        <f t="shared" si="0"/>
        <v>73443.937315029092</v>
      </c>
      <c r="N30" s="241">
        <f t="shared" si="0"/>
        <v>72122.309804959121</v>
      </c>
      <c r="O30" s="242">
        <f t="shared" si="0"/>
        <v>82676.138218961656</v>
      </c>
      <c r="P30" s="241">
        <f t="shared" si="0"/>
        <v>66733.481832407851</v>
      </c>
      <c r="Q30" s="243">
        <f t="shared" si="0"/>
        <v>70166.75761834711</v>
      </c>
    </row>
    <row r="31" spans="1:17" ht="30.75" customHeight="1" thickBot="1">
      <c r="A31" s="818" t="s">
        <v>309</v>
      </c>
      <c r="B31" s="819"/>
      <c r="C31" s="244"/>
      <c r="D31" s="245"/>
      <c r="E31" s="246"/>
      <c r="F31" s="239">
        <f>F30</f>
        <v>73526.759395057088</v>
      </c>
      <c r="G31" s="240">
        <f t="shared" ref="G31:Q31" si="1">F31+G30</f>
        <v>151957.27306855744</v>
      </c>
      <c r="H31" s="241">
        <f t="shared" si="1"/>
        <v>234614.01991654508</v>
      </c>
      <c r="I31" s="240">
        <f t="shared" si="1"/>
        <v>310573.99934424943</v>
      </c>
      <c r="J31" s="242">
        <f t="shared" si="1"/>
        <v>377936.87067492324</v>
      </c>
      <c r="K31" s="241">
        <f t="shared" si="1"/>
        <v>446406.55564628908</v>
      </c>
      <c r="L31" s="241">
        <f t="shared" si="1"/>
        <v>523898.30205282546</v>
      </c>
      <c r="M31" s="241">
        <f t="shared" si="1"/>
        <v>597342.23936785455</v>
      </c>
      <c r="N31" s="241">
        <f t="shared" si="1"/>
        <v>669464.54917281365</v>
      </c>
      <c r="O31" s="242">
        <f t="shared" si="1"/>
        <v>752140.68739177531</v>
      </c>
      <c r="P31" s="241">
        <f t="shared" si="1"/>
        <v>818874.16922418319</v>
      </c>
      <c r="Q31" s="247">
        <f t="shared" si="1"/>
        <v>889040.92684253026</v>
      </c>
    </row>
    <row r="32" spans="1:17" ht="30.75" customHeight="1" thickBot="1">
      <c r="A32" s="818" t="s">
        <v>310</v>
      </c>
      <c r="B32" s="819"/>
      <c r="C32" s="244"/>
      <c r="D32" s="245"/>
      <c r="E32" s="246"/>
      <c r="F32" s="248">
        <f>F30/E30</f>
        <v>8.2703458496776711E-2</v>
      </c>
      <c r="G32" s="248">
        <f>G30/E30</f>
        <v>8.8219238626111321E-2</v>
      </c>
      <c r="H32" s="237">
        <f>H30/E30</f>
        <v>9.2972937861867486E-2</v>
      </c>
      <c r="I32" s="249">
        <f>I30/E30</f>
        <v>8.5440362905990982E-2</v>
      </c>
      <c r="J32" s="250">
        <f>J30/E30</f>
        <v>7.5770270295560146E-2</v>
      </c>
      <c r="K32" s="237">
        <f>K30/E30</f>
        <v>7.7015222701320482E-2</v>
      </c>
      <c r="L32" s="237">
        <f>L30/E30</f>
        <v>8.7163306060331611E-2</v>
      </c>
      <c r="M32" s="237">
        <f>M30/E30</f>
        <v>8.2610299590895803E-2</v>
      </c>
      <c r="N32" s="237">
        <f>N30/E30</f>
        <v>8.1123722910153115E-2</v>
      </c>
      <c r="O32" s="250">
        <f>O30/E30</f>
        <v>9.2994749423504913E-2</v>
      </c>
      <c r="P32" s="237">
        <f>P30/E30</f>
        <v>7.506232819833715E-2</v>
      </c>
      <c r="Q32" s="251">
        <f>Q30/E30</f>
        <v>7.8924102929150391E-2</v>
      </c>
    </row>
    <row r="33" spans="1:17" ht="30.75" customHeight="1" thickBot="1">
      <c r="A33" s="818" t="s">
        <v>311</v>
      </c>
      <c r="B33" s="819"/>
      <c r="C33" s="244"/>
      <c r="D33" s="245"/>
      <c r="E33" s="252"/>
      <c r="F33" s="248">
        <f>F32</f>
        <v>8.2703458496776711E-2</v>
      </c>
      <c r="G33" s="249">
        <f t="shared" ref="G33:Q33" si="2">F33+G32</f>
        <v>0.17092269712288805</v>
      </c>
      <c r="H33" s="237">
        <f t="shared" si="2"/>
        <v>0.26389563498475554</v>
      </c>
      <c r="I33" s="249">
        <f t="shared" si="2"/>
        <v>0.34933599789074654</v>
      </c>
      <c r="J33" s="250">
        <f t="shared" si="2"/>
        <v>0.4251062681863067</v>
      </c>
      <c r="K33" s="237">
        <f t="shared" si="2"/>
        <v>0.50212149088762714</v>
      </c>
      <c r="L33" s="237">
        <f t="shared" si="2"/>
        <v>0.58928479694795877</v>
      </c>
      <c r="M33" s="237">
        <f t="shared" si="2"/>
        <v>0.6718950965388546</v>
      </c>
      <c r="N33" s="237">
        <f t="shared" si="2"/>
        <v>0.75301881944900773</v>
      </c>
      <c r="O33" s="250">
        <f t="shared" si="2"/>
        <v>0.84601356887251267</v>
      </c>
      <c r="P33" s="237">
        <f t="shared" si="2"/>
        <v>0.9210758970708498</v>
      </c>
      <c r="Q33" s="251">
        <f t="shared" si="2"/>
        <v>1.0000000000000002</v>
      </c>
    </row>
    <row r="34" spans="1:17">
      <c r="C34" s="192"/>
      <c r="D34" s="253"/>
      <c r="F34" s="192"/>
      <c r="H34" s="192"/>
      <c r="J34" s="192"/>
      <c r="K34" s="192"/>
      <c r="L34" s="192"/>
      <c r="M34" s="192"/>
      <c r="N34" s="192"/>
      <c r="O34" s="192"/>
      <c r="P34" s="192"/>
      <c r="Q34" s="192"/>
    </row>
    <row r="35" spans="1:17">
      <c r="C35" s="192"/>
      <c r="D35" s="253"/>
      <c r="F35" s="192"/>
      <c r="H35" s="192"/>
      <c r="J35" s="192"/>
      <c r="K35" s="192"/>
      <c r="L35" s="192"/>
      <c r="M35" s="192"/>
      <c r="N35" s="192"/>
      <c r="O35" s="192"/>
      <c r="P35" s="192"/>
      <c r="Q35" s="192"/>
    </row>
    <row r="36" spans="1:17">
      <c r="C36" s="192"/>
      <c r="D36" s="253"/>
      <c r="F36" s="192"/>
      <c r="H36" s="192"/>
      <c r="J36" s="192"/>
      <c r="K36" s="192"/>
      <c r="L36" s="192"/>
      <c r="M36" s="192"/>
      <c r="N36" s="192"/>
      <c r="O36" s="192"/>
      <c r="P36" s="192"/>
      <c r="Q36" s="192"/>
    </row>
    <row r="37" spans="1:17">
      <c r="C37" s="192"/>
      <c r="D37" s="253"/>
      <c r="F37" s="192"/>
      <c r="H37" s="192"/>
      <c r="J37" s="192"/>
      <c r="K37" s="192"/>
      <c r="L37" s="192"/>
      <c r="M37" s="192"/>
      <c r="N37" s="192"/>
      <c r="O37" s="192"/>
      <c r="P37" s="192"/>
      <c r="Q37" s="192"/>
    </row>
    <row r="38" spans="1:17">
      <c r="C38" s="192"/>
      <c r="D38" s="253"/>
      <c r="F38" s="192"/>
      <c r="H38" s="192"/>
      <c r="J38" s="192"/>
      <c r="K38" s="192"/>
      <c r="L38" s="192"/>
      <c r="M38" s="192"/>
      <c r="N38" s="192"/>
      <c r="O38" s="192"/>
      <c r="P38" s="192"/>
      <c r="Q38" s="192"/>
    </row>
    <row r="39" spans="1:17">
      <c r="C39" s="192"/>
      <c r="D39" s="253"/>
      <c r="F39" s="192"/>
      <c r="H39" s="192"/>
      <c r="J39" s="192"/>
      <c r="K39" s="192"/>
      <c r="L39" s="192"/>
      <c r="M39" s="192"/>
      <c r="N39" s="192"/>
      <c r="O39" s="192"/>
      <c r="P39" s="192"/>
      <c r="Q39" s="192"/>
    </row>
    <row r="40" spans="1:17">
      <c r="C40" s="192"/>
      <c r="D40" s="253"/>
      <c r="F40" s="192"/>
      <c r="H40" s="192"/>
      <c r="J40" s="192"/>
      <c r="K40" s="192"/>
      <c r="L40" s="192"/>
      <c r="M40" s="192"/>
      <c r="N40" s="192"/>
      <c r="O40" s="192"/>
      <c r="P40" s="192"/>
      <c r="Q40" s="192"/>
    </row>
    <row r="41" spans="1:17">
      <c r="C41" s="192"/>
      <c r="D41" s="253"/>
      <c r="F41" s="192"/>
      <c r="H41" s="192"/>
      <c r="J41" s="192"/>
      <c r="K41" s="192"/>
      <c r="L41" s="192"/>
      <c r="M41" s="192"/>
      <c r="N41" s="192"/>
      <c r="O41" s="192"/>
      <c r="P41" s="192"/>
      <c r="Q41" s="192"/>
    </row>
    <row r="42" spans="1:17">
      <c r="C42" s="192"/>
      <c r="D42" s="253"/>
      <c r="F42" s="192"/>
      <c r="H42" s="192"/>
      <c r="J42" s="192"/>
      <c r="K42" s="192"/>
      <c r="L42" s="192"/>
      <c r="M42" s="192"/>
      <c r="N42" s="192"/>
      <c r="O42" s="192"/>
      <c r="P42" s="192"/>
      <c r="Q42" s="192"/>
    </row>
    <row r="43" spans="1:17">
      <c r="C43" s="192"/>
      <c r="D43" s="253"/>
      <c r="F43" s="192"/>
      <c r="H43" s="192"/>
      <c r="J43" s="192"/>
      <c r="K43" s="192"/>
      <c r="L43" s="192"/>
      <c r="M43" s="192"/>
      <c r="N43" s="192"/>
      <c r="O43" s="192"/>
      <c r="P43" s="192"/>
      <c r="Q43" s="192"/>
    </row>
    <row r="44" spans="1:17">
      <c r="C44" s="192"/>
      <c r="D44" s="253"/>
      <c r="F44" s="192"/>
      <c r="H44" s="192"/>
      <c r="J44" s="192"/>
      <c r="K44" s="192"/>
      <c r="L44" s="192"/>
      <c r="M44" s="192"/>
      <c r="N44" s="192"/>
      <c r="O44" s="192"/>
      <c r="P44" s="192"/>
      <c r="Q44" s="192"/>
    </row>
    <row r="45" spans="1:17">
      <c r="C45" s="192"/>
      <c r="D45" s="253"/>
      <c r="F45" s="192"/>
      <c r="H45" s="192"/>
      <c r="J45" s="192"/>
      <c r="K45" s="192"/>
      <c r="L45" s="192"/>
      <c r="M45" s="192"/>
      <c r="N45" s="192"/>
      <c r="O45" s="192"/>
      <c r="P45" s="192"/>
      <c r="Q45" s="192"/>
    </row>
    <row r="46" spans="1:17">
      <c r="C46" s="192"/>
      <c r="D46" s="253"/>
      <c r="F46" s="192"/>
      <c r="H46" s="192"/>
      <c r="J46" s="192"/>
      <c r="K46" s="192"/>
      <c r="L46" s="192"/>
      <c r="M46" s="192"/>
      <c r="N46" s="192"/>
      <c r="O46" s="192"/>
      <c r="P46" s="192"/>
      <c r="Q46" s="192"/>
    </row>
    <row r="47" spans="1:17">
      <c r="C47" s="192"/>
      <c r="D47" s="253"/>
      <c r="F47" s="192"/>
      <c r="H47" s="192"/>
      <c r="J47" s="192"/>
      <c r="K47" s="192"/>
      <c r="L47" s="192"/>
      <c r="M47" s="192"/>
      <c r="N47" s="192"/>
      <c r="O47" s="192"/>
      <c r="P47" s="192"/>
      <c r="Q47" s="192"/>
    </row>
    <row r="48" spans="1:17">
      <c r="C48" s="192"/>
      <c r="D48" s="253"/>
      <c r="F48" s="192"/>
      <c r="H48" s="192"/>
      <c r="J48" s="192"/>
      <c r="K48" s="192"/>
      <c r="L48" s="192"/>
      <c r="M48" s="192"/>
      <c r="N48" s="192"/>
      <c r="O48" s="192"/>
      <c r="P48" s="192"/>
      <c r="Q48" s="192"/>
    </row>
    <row r="49" spans="2:17">
      <c r="C49" s="192"/>
      <c r="D49" s="253"/>
      <c r="F49" s="192"/>
      <c r="H49" s="192"/>
      <c r="J49" s="192"/>
      <c r="K49" s="192"/>
      <c r="L49" s="192"/>
      <c r="M49" s="192"/>
      <c r="N49" s="192"/>
      <c r="O49" s="192"/>
      <c r="P49" s="192"/>
      <c r="Q49" s="192"/>
    </row>
    <row r="50" spans="2:17">
      <c r="C50" s="192"/>
      <c r="D50" s="253"/>
      <c r="F50" s="192"/>
      <c r="H50" s="192"/>
      <c r="J50" s="192"/>
      <c r="K50" s="192"/>
      <c r="L50" s="192"/>
      <c r="M50" s="192"/>
      <c r="N50" s="192"/>
      <c r="O50" s="192"/>
      <c r="P50" s="192"/>
      <c r="Q50" s="192"/>
    </row>
    <row r="51" spans="2:17">
      <c r="C51" s="192"/>
      <c r="D51" s="253"/>
      <c r="F51" s="192"/>
      <c r="H51" s="192"/>
      <c r="J51" s="192"/>
      <c r="K51" s="192"/>
      <c r="L51" s="192"/>
      <c r="M51" s="192"/>
      <c r="N51" s="192"/>
      <c r="O51" s="192"/>
      <c r="P51" s="192"/>
      <c r="Q51" s="192"/>
    </row>
    <row r="52" spans="2:17">
      <c r="C52" s="192"/>
      <c r="D52" s="253"/>
      <c r="F52" s="192"/>
      <c r="H52" s="192"/>
      <c r="J52" s="192"/>
      <c r="K52" s="192"/>
      <c r="L52" s="192"/>
      <c r="M52" s="192"/>
      <c r="N52" s="192"/>
      <c r="O52" s="192"/>
      <c r="P52" s="192"/>
      <c r="Q52" s="192"/>
    </row>
    <row r="53" spans="2:17">
      <c r="C53" s="192"/>
      <c r="D53" s="253"/>
      <c r="F53" s="192"/>
      <c r="H53" s="192"/>
      <c r="J53" s="192"/>
      <c r="K53" s="192"/>
      <c r="L53" s="192"/>
      <c r="M53" s="192"/>
      <c r="N53" s="192"/>
      <c r="O53" s="192"/>
      <c r="P53" s="192"/>
      <c r="Q53" s="192"/>
    </row>
    <row r="54" spans="2:17">
      <c r="C54" s="192"/>
      <c r="D54" s="253"/>
      <c r="F54" s="192"/>
      <c r="H54" s="192"/>
      <c r="J54" s="192"/>
      <c r="K54" s="192"/>
      <c r="L54" s="192"/>
      <c r="M54" s="192"/>
      <c r="N54" s="192"/>
      <c r="O54" s="192"/>
      <c r="P54" s="192"/>
      <c r="Q54" s="192"/>
    </row>
    <row r="55" spans="2:17">
      <c r="C55" s="192"/>
      <c r="D55" s="253"/>
      <c r="F55" s="192"/>
      <c r="H55" s="192"/>
      <c r="J55" s="192"/>
      <c r="K55" s="192"/>
      <c r="L55" s="192"/>
      <c r="M55" s="192"/>
      <c r="N55" s="192"/>
      <c r="O55" s="192"/>
      <c r="P55" s="192"/>
      <c r="Q55" s="192"/>
    </row>
    <row r="56" spans="2:17">
      <c r="C56" s="192"/>
      <c r="D56" s="253"/>
      <c r="F56" s="192"/>
      <c r="H56" s="192"/>
      <c r="J56" s="192"/>
      <c r="K56" s="192"/>
      <c r="L56" s="192"/>
      <c r="M56" s="192"/>
      <c r="N56" s="192"/>
      <c r="O56" s="192"/>
      <c r="P56" s="192"/>
      <c r="Q56" s="192"/>
    </row>
    <row r="57" spans="2:17">
      <c r="C57" s="192"/>
      <c r="D57" s="253"/>
      <c r="F57" s="192"/>
      <c r="H57" s="192"/>
      <c r="J57" s="192"/>
      <c r="K57" s="192"/>
      <c r="L57" s="192"/>
      <c r="M57" s="192"/>
      <c r="N57" s="192"/>
      <c r="O57" s="192"/>
      <c r="P57" s="192"/>
      <c r="Q57" s="192"/>
    </row>
    <row r="58" spans="2:17">
      <c r="C58" s="192"/>
      <c r="D58" s="253"/>
      <c r="F58" s="192"/>
      <c r="H58" s="192"/>
      <c r="J58" s="192"/>
      <c r="K58" s="192"/>
      <c r="L58" s="192"/>
      <c r="M58" s="192"/>
      <c r="N58" s="192"/>
      <c r="O58" s="192"/>
      <c r="P58" s="192"/>
      <c r="Q58" s="192"/>
    </row>
    <row r="59" spans="2:17">
      <c r="C59" s="192"/>
      <c r="D59" s="253"/>
      <c r="F59" s="192"/>
      <c r="H59" s="192"/>
      <c r="J59" s="192"/>
      <c r="K59" s="192"/>
      <c r="L59" s="192"/>
      <c r="M59" s="192"/>
      <c r="N59" s="192"/>
      <c r="O59" s="192"/>
      <c r="P59" s="192"/>
      <c r="Q59" s="192"/>
    </row>
    <row r="60" spans="2:17">
      <c r="C60" s="192"/>
      <c r="D60" s="253"/>
      <c r="F60" s="192"/>
      <c r="H60" s="192"/>
      <c r="J60" s="192"/>
      <c r="K60" s="192"/>
      <c r="L60" s="192"/>
      <c r="M60" s="192"/>
      <c r="N60" s="192"/>
      <c r="O60" s="192"/>
      <c r="P60" s="192"/>
      <c r="Q60" s="192"/>
    </row>
    <row r="61" spans="2:17">
      <c r="C61" s="192"/>
      <c r="D61" s="253"/>
      <c r="F61" s="192"/>
      <c r="H61" s="192"/>
      <c r="J61" s="192"/>
      <c r="K61" s="192"/>
      <c r="L61" s="192"/>
      <c r="M61" s="192"/>
      <c r="N61" s="192"/>
      <c r="O61" s="192"/>
      <c r="P61" s="192"/>
      <c r="Q61" s="192"/>
    </row>
    <row r="62" spans="2:17">
      <c r="B62" s="192"/>
      <c r="C62" s="192"/>
      <c r="D62" s="253"/>
      <c r="F62" s="192"/>
      <c r="H62" s="192"/>
      <c r="J62" s="192"/>
      <c r="K62" s="192"/>
      <c r="L62" s="192"/>
      <c r="M62" s="192"/>
      <c r="N62" s="192"/>
      <c r="O62" s="192"/>
      <c r="P62" s="192"/>
      <c r="Q62" s="192"/>
    </row>
    <row r="63" spans="2:17">
      <c r="B63" s="192"/>
      <c r="C63" s="192"/>
      <c r="D63" s="253"/>
      <c r="F63" s="192"/>
      <c r="H63" s="192"/>
      <c r="J63" s="192"/>
      <c r="K63" s="192"/>
      <c r="L63" s="192"/>
      <c r="M63" s="192"/>
      <c r="N63" s="192"/>
      <c r="O63" s="192"/>
      <c r="P63" s="192"/>
      <c r="Q63" s="192"/>
    </row>
    <row r="64" spans="2:17">
      <c r="B64" s="192"/>
      <c r="C64" s="192"/>
      <c r="D64" s="253"/>
      <c r="F64" s="192"/>
      <c r="H64" s="192"/>
      <c r="J64" s="192"/>
      <c r="K64" s="192"/>
      <c r="L64" s="192"/>
      <c r="M64" s="192"/>
      <c r="N64" s="192"/>
      <c r="O64" s="192"/>
      <c r="P64" s="192"/>
      <c r="Q64" s="192"/>
    </row>
    <row r="65" spans="2:17">
      <c r="B65" s="192"/>
      <c r="C65" s="192"/>
      <c r="D65" s="253"/>
      <c r="F65" s="192"/>
      <c r="H65" s="192"/>
      <c r="J65" s="192"/>
      <c r="K65" s="192"/>
      <c r="L65" s="192"/>
      <c r="M65" s="192"/>
      <c r="N65" s="192"/>
      <c r="O65" s="192"/>
      <c r="P65" s="192"/>
      <c r="Q65" s="192"/>
    </row>
    <row r="66" spans="2:17">
      <c r="B66" s="192"/>
      <c r="C66" s="192"/>
      <c r="D66" s="253"/>
      <c r="F66" s="192"/>
      <c r="H66" s="192"/>
      <c r="J66" s="192"/>
      <c r="K66" s="192"/>
      <c r="L66" s="192"/>
      <c r="M66" s="192"/>
      <c r="N66" s="192"/>
      <c r="O66" s="192"/>
      <c r="P66" s="192"/>
      <c r="Q66" s="192"/>
    </row>
    <row r="67" spans="2:17">
      <c r="B67" s="192"/>
      <c r="C67" s="192"/>
      <c r="D67" s="253"/>
      <c r="F67" s="192"/>
      <c r="H67" s="192"/>
      <c r="J67" s="192"/>
      <c r="K67" s="192"/>
      <c r="L67" s="192"/>
      <c r="M67" s="192"/>
      <c r="N67" s="192"/>
      <c r="O67" s="192"/>
      <c r="P67" s="192"/>
      <c r="Q67" s="192"/>
    </row>
    <row r="68" spans="2:17">
      <c r="B68" s="192"/>
      <c r="C68" s="192"/>
      <c r="D68" s="253"/>
      <c r="F68" s="192"/>
      <c r="H68" s="192"/>
      <c r="J68" s="192"/>
      <c r="K68" s="192"/>
      <c r="L68" s="192"/>
      <c r="M68" s="192"/>
      <c r="N68" s="192"/>
      <c r="O68" s="192"/>
      <c r="P68" s="192"/>
      <c r="Q68" s="192"/>
    </row>
    <row r="69" spans="2:17">
      <c r="B69" s="192"/>
      <c r="C69" s="192"/>
      <c r="D69" s="253"/>
      <c r="F69" s="192"/>
      <c r="H69" s="192"/>
      <c r="J69" s="192"/>
      <c r="K69" s="192"/>
      <c r="L69" s="192"/>
      <c r="M69" s="192"/>
      <c r="N69" s="192"/>
      <c r="O69" s="192"/>
      <c r="P69" s="192"/>
      <c r="Q69" s="192"/>
    </row>
    <row r="70" spans="2:17">
      <c r="B70" s="192"/>
      <c r="C70" s="192"/>
      <c r="D70" s="253"/>
      <c r="F70" s="192"/>
      <c r="H70" s="192"/>
      <c r="J70" s="192"/>
      <c r="K70" s="192"/>
      <c r="L70" s="192"/>
      <c r="M70" s="192"/>
      <c r="N70" s="192"/>
      <c r="O70" s="192"/>
      <c r="P70" s="192"/>
      <c r="Q70" s="192"/>
    </row>
    <row r="71" spans="2:17">
      <c r="B71" s="192"/>
      <c r="C71" s="192"/>
      <c r="D71" s="253"/>
      <c r="F71" s="192"/>
      <c r="H71" s="192"/>
      <c r="J71" s="192"/>
      <c r="K71" s="192"/>
      <c r="L71" s="192"/>
      <c r="M71" s="192"/>
      <c r="N71" s="192"/>
      <c r="O71" s="192"/>
      <c r="P71" s="192"/>
      <c r="Q71" s="192"/>
    </row>
    <row r="72" spans="2:17">
      <c r="B72" s="192"/>
      <c r="C72" s="192"/>
      <c r="D72" s="253"/>
      <c r="F72" s="192"/>
      <c r="H72" s="192"/>
      <c r="J72" s="192"/>
      <c r="K72" s="192"/>
      <c r="L72" s="192"/>
      <c r="M72" s="192"/>
      <c r="N72" s="192"/>
      <c r="O72" s="192"/>
      <c r="P72" s="192"/>
      <c r="Q72" s="192"/>
    </row>
    <row r="73" spans="2:17">
      <c r="B73" s="192"/>
      <c r="C73" s="192"/>
      <c r="D73" s="253"/>
      <c r="F73" s="192"/>
      <c r="H73" s="192"/>
      <c r="J73" s="192"/>
      <c r="K73" s="192"/>
      <c r="L73" s="192"/>
      <c r="M73" s="192"/>
      <c r="N73" s="192"/>
      <c r="O73" s="192"/>
      <c r="P73" s="192"/>
      <c r="Q73" s="192"/>
    </row>
    <row r="74" spans="2:17">
      <c r="B74" s="192"/>
      <c r="C74" s="192"/>
      <c r="D74" s="253"/>
      <c r="F74" s="192"/>
      <c r="H74" s="192"/>
      <c r="J74" s="192"/>
      <c r="K74" s="192"/>
      <c r="L74" s="192"/>
      <c r="M74" s="192"/>
      <c r="N74" s="192"/>
      <c r="O74" s="192"/>
      <c r="P74" s="192"/>
      <c r="Q74" s="192"/>
    </row>
    <row r="75" spans="2:17">
      <c r="B75" s="192"/>
      <c r="C75" s="192"/>
      <c r="D75" s="253"/>
      <c r="F75" s="192"/>
      <c r="H75" s="192"/>
      <c r="J75" s="192"/>
      <c r="K75" s="192"/>
      <c r="L75" s="192"/>
      <c r="M75" s="192"/>
      <c r="N75" s="192"/>
      <c r="O75" s="192"/>
      <c r="P75" s="192"/>
      <c r="Q75" s="192"/>
    </row>
    <row r="76" spans="2:17">
      <c r="B76" s="192"/>
      <c r="C76" s="192"/>
      <c r="D76" s="253"/>
      <c r="F76" s="192"/>
      <c r="H76" s="192"/>
      <c r="J76" s="192"/>
      <c r="K76" s="192"/>
      <c r="L76" s="192"/>
      <c r="M76" s="192"/>
      <c r="N76" s="192"/>
      <c r="O76" s="192"/>
      <c r="P76" s="192"/>
      <c r="Q76" s="192"/>
    </row>
    <row r="77" spans="2:17">
      <c r="B77" s="192"/>
      <c r="C77" s="192"/>
      <c r="D77" s="253"/>
      <c r="F77" s="192"/>
      <c r="H77" s="192"/>
      <c r="J77" s="192"/>
      <c r="K77" s="192"/>
      <c r="L77" s="192"/>
      <c r="M77" s="192"/>
      <c r="N77" s="192"/>
      <c r="O77" s="192"/>
      <c r="P77" s="192"/>
      <c r="Q77" s="192"/>
    </row>
    <row r="78" spans="2:17">
      <c r="B78" s="192"/>
      <c r="C78" s="192"/>
      <c r="D78" s="253"/>
      <c r="F78" s="192"/>
      <c r="H78" s="192"/>
      <c r="J78" s="192"/>
      <c r="K78" s="192"/>
      <c r="L78" s="192"/>
      <c r="M78" s="192"/>
      <c r="N78" s="192"/>
      <c r="O78" s="192"/>
      <c r="P78" s="192"/>
      <c r="Q78" s="192"/>
    </row>
    <row r="79" spans="2:17">
      <c r="B79" s="192"/>
      <c r="C79" s="192"/>
      <c r="D79" s="253"/>
      <c r="F79" s="192"/>
      <c r="H79" s="192"/>
      <c r="J79" s="192"/>
      <c r="K79" s="192"/>
      <c r="L79" s="192"/>
      <c r="M79" s="192"/>
      <c r="N79" s="192"/>
      <c r="O79" s="192"/>
      <c r="P79" s="192"/>
      <c r="Q79" s="192"/>
    </row>
    <row r="80" spans="2:17">
      <c r="B80" s="192"/>
      <c r="C80" s="192"/>
      <c r="D80" s="253"/>
      <c r="F80" s="192"/>
      <c r="H80" s="192"/>
      <c r="J80" s="192"/>
      <c r="K80" s="192"/>
      <c r="L80" s="192"/>
      <c r="M80" s="192"/>
      <c r="N80" s="192"/>
      <c r="O80" s="192"/>
      <c r="P80" s="192"/>
      <c r="Q80" s="192"/>
    </row>
    <row r="81" spans="2:17">
      <c r="B81" s="192"/>
      <c r="C81" s="192"/>
      <c r="D81" s="253"/>
      <c r="F81" s="192"/>
      <c r="H81" s="192"/>
      <c r="J81" s="192"/>
      <c r="K81" s="192"/>
      <c r="L81" s="192"/>
      <c r="M81" s="192"/>
      <c r="N81" s="192"/>
      <c r="O81" s="192"/>
      <c r="P81" s="192"/>
      <c r="Q81" s="192"/>
    </row>
    <row r="82" spans="2:17">
      <c r="B82" s="192"/>
      <c r="C82" s="192"/>
      <c r="D82" s="253"/>
      <c r="F82" s="192"/>
      <c r="H82" s="192"/>
      <c r="J82" s="192"/>
      <c r="K82" s="192"/>
      <c r="L82" s="192"/>
      <c r="M82" s="192"/>
      <c r="N82" s="192"/>
      <c r="O82" s="192"/>
      <c r="P82" s="192"/>
      <c r="Q82" s="192"/>
    </row>
    <row r="83" spans="2:17">
      <c r="B83" s="192"/>
      <c r="C83" s="192"/>
      <c r="D83" s="253"/>
      <c r="F83" s="192"/>
      <c r="H83" s="192"/>
      <c r="J83" s="192"/>
      <c r="K83" s="192"/>
      <c r="L83" s="192"/>
      <c r="M83" s="192"/>
      <c r="N83" s="192"/>
      <c r="O83" s="192"/>
      <c r="P83" s="192"/>
      <c r="Q83" s="192"/>
    </row>
    <row r="84" spans="2:17">
      <c r="B84" s="192"/>
      <c r="C84" s="192"/>
      <c r="D84" s="253"/>
      <c r="F84" s="192"/>
      <c r="H84" s="192"/>
      <c r="J84" s="192"/>
      <c r="K84" s="192"/>
      <c r="L84" s="192"/>
      <c r="M84" s="192"/>
      <c r="N84" s="192"/>
      <c r="O84" s="192"/>
      <c r="P84" s="192"/>
      <c r="Q84" s="192"/>
    </row>
    <row r="85" spans="2:17">
      <c r="B85" s="192"/>
      <c r="C85" s="192"/>
      <c r="D85" s="253"/>
      <c r="F85" s="192"/>
      <c r="H85" s="192"/>
      <c r="J85" s="192"/>
      <c r="K85" s="192"/>
      <c r="L85" s="192"/>
      <c r="M85" s="192"/>
      <c r="N85" s="192"/>
      <c r="O85" s="192"/>
      <c r="P85" s="192"/>
      <c r="Q85" s="192"/>
    </row>
    <row r="86" spans="2:17">
      <c r="B86" s="192"/>
      <c r="C86" s="192"/>
      <c r="D86" s="253"/>
      <c r="F86" s="192"/>
      <c r="H86" s="192"/>
      <c r="J86" s="192"/>
      <c r="K86" s="192"/>
      <c r="L86" s="192"/>
      <c r="M86" s="192"/>
      <c r="N86" s="192"/>
      <c r="O86" s="192"/>
      <c r="P86" s="192"/>
      <c r="Q86" s="192"/>
    </row>
    <row r="87" spans="2:17">
      <c r="B87" s="192"/>
      <c r="C87" s="192"/>
      <c r="D87" s="253"/>
      <c r="F87" s="192"/>
      <c r="H87" s="192"/>
      <c r="J87" s="192"/>
      <c r="K87" s="192"/>
      <c r="L87" s="192"/>
      <c r="M87" s="192"/>
      <c r="N87" s="192"/>
      <c r="O87" s="192"/>
      <c r="P87" s="192"/>
      <c r="Q87" s="192"/>
    </row>
    <row r="88" spans="2:17">
      <c r="F88" s="233"/>
      <c r="H88" s="192"/>
      <c r="J88" s="192"/>
      <c r="K88" s="192"/>
      <c r="L88" s="192"/>
      <c r="M88" s="192"/>
      <c r="N88" s="192"/>
      <c r="O88" s="192"/>
      <c r="P88" s="192"/>
      <c r="Q88" s="192"/>
    </row>
    <row r="89" spans="2:17">
      <c r="F89" s="233"/>
      <c r="H89" s="192"/>
      <c r="J89" s="192"/>
      <c r="K89" s="192"/>
      <c r="L89" s="192"/>
      <c r="M89" s="192"/>
      <c r="N89" s="192"/>
      <c r="O89" s="192"/>
      <c r="P89" s="192"/>
      <c r="Q89" s="192"/>
    </row>
    <row r="90" spans="2:17">
      <c r="F90" s="233"/>
      <c r="H90" s="192"/>
      <c r="J90" s="192"/>
      <c r="K90" s="192"/>
      <c r="L90" s="192"/>
      <c r="M90" s="192"/>
      <c r="N90" s="192"/>
      <c r="O90" s="192"/>
      <c r="P90" s="192"/>
      <c r="Q90" s="192"/>
    </row>
    <row r="91" spans="2:17">
      <c r="F91" s="233"/>
      <c r="H91" s="192"/>
      <c r="J91" s="192"/>
      <c r="K91" s="192"/>
      <c r="L91" s="192"/>
      <c r="M91" s="192"/>
      <c r="N91" s="192"/>
      <c r="O91" s="192"/>
      <c r="P91" s="192"/>
      <c r="Q91" s="192"/>
    </row>
    <row r="92" spans="2:17">
      <c r="F92" s="233"/>
      <c r="H92" s="192"/>
      <c r="J92" s="192"/>
      <c r="K92" s="192"/>
      <c r="L92" s="192"/>
      <c r="M92" s="192"/>
      <c r="N92" s="192"/>
      <c r="O92" s="192"/>
      <c r="P92" s="192"/>
      <c r="Q92" s="192"/>
    </row>
    <row r="93" spans="2:17">
      <c r="F93" s="233"/>
      <c r="H93" s="192"/>
      <c r="J93" s="192"/>
      <c r="K93" s="192"/>
      <c r="L93" s="192"/>
      <c r="M93" s="192"/>
      <c r="N93" s="192"/>
      <c r="O93" s="192"/>
      <c r="P93" s="192"/>
      <c r="Q93" s="192"/>
    </row>
    <row r="94" spans="2:17">
      <c r="F94" s="233"/>
      <c r="H94" s="192"/>
      <c r="J94" s="192"/>
      <c r="K94" s="192"/>
      <c r="L94" s="192"/>
      <c r="M94" s="192"/>
      <c r="N94" s="192"/>
      <c r="O94" s="192"/>
      <c r="P94" s="192"/>
      <c r="Q94" s="192"/>
    </row>
    <row r="95" spans="2:17">
      <c r="F95" s="233"/>
      <c r="H95" s="192"/>
      <c r="J95" s="192"/>
      <c r="K95" s="192"/>
      <c r="L95" s="192"/>
      <c r="M95" s="192"/>
      <c r="N95" s="192"/>
      <c r="O95" s="192"/>
      <c r="P95" s="192"/>
      <c r="Q95" s="192"/>
    </row>
    <row r="96" spans="2:17">
      <c r="F96" s="233"/>
      <c r="H96" s="192"/>
      <c r="J96" s="192"/>
      <c r="K96" s="192"/>
      <c r="L96" s="192"/>
      <c r="M96" s="192"/>
      <c r="N96" s="192"/>
      <c r="O96" s="192"/>
      <c r="P96" s="192"/>
      <c r="Q96" s="192"/>
    </row>
    <row r="97" spans="6:17">
      <c r="F97" s="233"/>
      <c r="H97" s="192"/>
      <c r="J97" s="192"/>
      <c r="K97" s="192"/>
      <c r="L97" s="192"/>
      <c r="M97" s="192"/>
      <c r="N97" s="192"/>
      <c r="O97" s="192"/>
      <c r="P97" s="192"/>
      <c r="Q97" s="192"/>
    </row>
    <row r="98" spans="6:17">
      <c r="F98" s="233"/>
      <c r="H98" s="192"/>
      <c r="J98" s="192"/>
      <c r="K98" s="192"/>
      <c r="L98" s="192"/>
      <c r="M98" s="192"/>
      <c r="N98" s="192"/>
      <c r="O98" s="192"/>
      <c r="P98" s="192"/>
      <c r="Q98" s="192"/>
    </row>
    <row r="99" spans="6:17">
      <c r="F99" s="233"/>
      <c r="H99" s="192"/>
      <c r="J99" s="192"/>
      <c r="K99" s="192"/>
      <c r="L99" s="192"/>
      <c r="M99" s="192"/>
      <c r="N99" s="192"/>
      <c r="O99" s="192"/>
      <c r="P99" s="192"/>
      <c r="Q99" s="192"/>
    </row>
    <row r="100" spans="6:17">
      <c r="F100" s="233"/>
      <c r="H100" s="192"/>
      <c r="J100" s="192"/>
      <c r="K100" s="192"/>
      <c r="L100" s="192"/>
      <c r="M100" s="192"/>
      <c r="N100" s="192"/>
      <c r="O100" s="192"/>
      <c r="P100" s="192"/>
      <c r="Q100" s="192"/>
    </row>
    <row r="101" spans="6:17">
      <c r="F101" s="233"/>
      <c r="H101" s="192"/>
      <c r="J101" s="192"/>
      <c r="K101" s="192"/>
      <c r="L101" s="192"/>
      <c r="M101" s="192"/>
      <c r="N101" s="192"/>
      <c r="O101" s="192"/>
      <c r="P101" s="192"/>
      <c r="Q101" s="192"/>
    </row>
    <row r="102" spans="6:17">
      <c r="F102" s="233"/>
      <c r="H102" s="192"/>
      <c r="J102" s="192"/>
      <c r="K102" s="192"/>
      <c r="L102" s="192"/>
      <c r="M102" s="192"/>
      <c r="N102" s="192"/>
      <c r="O102" s="192"/>
      <c r="P102" s="192"/>
      <c r="Q102" s="192"/>
    </row>
    <row r="103" spans="6:17">
      <c r="F103" s="233"/>
      <c r="H103" s="192"/>
      <c r="J103" s="192"/>
      <c r="K103" s="192"/>
      <c r="L103" s="192"/>
      <c r="M103" s="192"/>
      <c r="N103" s="192"/>
      <c r="O103" s="192"/>
      <c r="P103" s="192"/>
      <c r="Q103" s="192"/>
    </row>
    <row r="104" spans="6:17">
      <c r="F104" s="233"/>
      <c r="H104" s="192"/>
      <c r="J104" s="192"/>
      <c r="K104" s="192"/>
      <c r="L104" s="192"/>
      <c r="M104" s="192"/>
      <c r="N104" s="192"/>
      <c r="O104" s="192"/>
      <c r="P104" s="192"/>
      <c r="Q104" s="192"/>
    </row>
    <row r="105" spans="6:17">
      <c r="F105" s="233"/>
      <c r="H105" s="192"/>
      <c r="J105" s="192"/>
      <c r="K105" s="192"/>
      <c r="L105" s="192"/>
      <c r="M105" s="192"/>
      <c r="N105" s="192"/>
      <c r="O105" s="192"/>
      <c r="P105" s="192"/>
      <c r="Q105" s="192"/>
    </row>
    <row r="106" spans="6:17">
      <c r="F106" s="233"/>
      <c r="H106" s="192"/>
      <c r="J106" s="192"/>
      <c r="K106" s="192"/>
      <c r="L106" s="192"/>
      <c r="M106" s="192"/>
      <c r="N106" s="192"/>
      <c r="O106" s="192"/>
      <c r="P106" s="192"/>
      <c r="Q106" s="192"/>
    </row>
    <row r="107" spans="6:17">
      <c r="F107" s="233"/>
      <c r="H107" s="192"/>
      <c r="J107" s="192"/>
      <c r="K107" s="192"/>
      <c r="L107" s="192"/>
      <c r="M107" s="192"/>
      <c r="N107" s="192"/>
      <c r="O107" s="192"/>
      <c r="P107" s="192"/>
      <c r="Q107" s="192"/>
    </row>
    <row r="108" spans="6:17">
      <c r="F108" s="233"/>
      <c r="H108" s="192"/>
      <c r="J108" s="192"/>
      <c r="K108" s="192"/>
      <c r="L108" s="192"/>
      <c r="M108" s="192"/>
      <c r="N108" s="192"/>
      <c r="O108" s="192"/>
      <c r="P108" s="192"/>
      <c r="Q108" s="192"/>
    </row>
    <row r="109" spans="6:17">
      <c r="F109" s="233"/>
      <c r="H109" s="192"/>
      <c r="J109" s="192"/>
      <c r="K109" s="192"/>
      <c r="L109" s="192"/>
      <c r="M109" s="192"/>
      <c r="N109" s="192"/>
      <c r="O109" s="192"/>
      <c r="P109" s="192"/>
      <c r="Q109" s="192"/>
    </row>
    <row r="110" spans="6:17">
      <c r="F110" s="233"/>
      <c r="H110" s="192"/>
      <c r="J110" s="192"/>
      <c r="K110" s="192"/>
      <c r="L110" s="192"/>
      <c r="M110" s="192"/>
      <c r="N110" s="192"/>
      <c r="O110" s="192"/>
      <c r="P110" s="192"/>
      <c r="Q110" s="192"/>
    </row>
    <row r="111" spans="6:17">
      <c r="F111" s="233"/>
      <c r="H111" s="192"/>
      <c r="J111" s="192"/>
      <c r="K111" s="192"/>
      <c r="L111" s="192"/>
      <c r="M111" s="192"/>
      <c r="N111" s="192"/>
      <c r="O111" s="192"/>
      <c r="P111" s="192"/>
      <c r="Q111" s="192"/>
    </row>
    <row r="112" spans="6:17">
      <c r="F112" s="233"/>
      <c r="H112" s="192"/>
      <c r="J112" s="192"/>
      <c r="K112" s="192"/>
      <c r="L112" s="192"/>
      <c r="M112" s="192"/>
      <c r="N112" s="192"/>
      <c r="O112" s="192"/>
      <c r="P112" s="192"/>
      <c r="Q112" s="192"/>
    </row>
    <row r="113" spans="6:17">
      <c r="F113" s="233"/>
      <c r="H113" s="192"/>
      <c r="J113" s="192"/>
      <c r="K113" s="192"/>
      <c r="L113" s="192"/>
      <c r="M113" s="192"/>
      <c r="N113" s="192"/>
      <c r="O113" s="192"/>
      <c r="P113" s="192"/>
      <c r="Q113" s="192"/>
    </row>
    <row r="114" spans="6:17">
      <c r="F114" s="233"/>
      <c r="H114" s="192"/>
      <c r="J114" s="192"/>
      <c r="K114" s="192"/>
      <c r="L114" s="192"/>
      <c r="M114" s="192"/>
      <c r="N114" s="192"/>
      <c r="O114" s="192"/>
      <c r="P114" s="192"/>
      <c r="Q114" s="192"/>
    </row>
    <row r="115" spans="6:17">
      <c r="F115" s="233"/>
      <c r="H115" s="192"/>
      <c r="J115" s="192"/>
      <c r="K115" s="192"/>
      <c r="L115" s="192"/>
      <c r="M115" s="192"/>
      <c r="N115" s="192"/>
      <c r="O115" s="192"/>
      <c r="P115" s="192"/>
      <c r="Q115" s="192"/>
    </row>
    <row r="116" spans="6:17">
      <c r="F116" s="233"/>
      <c r="H116" s="192"/>
      <c r="J116" s="192"/>
      <c r="K116" s="192"/>
      <c r="L116" s="192"/>
      <c r="M116" s="192"/>
      <c r="N116" s="192"/>
      <c r="O116" s="192"/>
      <c r="P116" s="192"/>
      <c r="Q116" s="192"/>
    </row>
    <row r="117" spans="6:17">
      <c r="F117" s="233"/>
      <c r="H117" s="192"/>
      <c r="J117" s="192"/>
      <c r="K117" s="192"/>
      <c r="L117" s="192"/>
      <c r="M117" s="192"/>
      <c r="N117" s="192"/>
      <c r="O117" s="192"/>
      <c r="P117" s="192"/>
      <c r="Q117" s="192"/>
    </row>
    <row r="118" spans="6:17">
      <c r="F118" s="233"/>
      <c r="H118" s="192"/>
      <c r="J118" s="192"/>
      <c r="K118" s="192"/>
      <c r="L118" s="192"/>
      <c r="M118" s="192"/>
      <c r="N118" s="192"/>
      <c r="O118" s="192"/>
      <c r="P118" s="192"/>
      <c r="Q118" s="192"/>
    </row>
    <row r="119" spans="6:17">
      <c r="F119" s="233"/>
      <c r="H119" s="192"/>
      <c r="J119" s="192"/>
      <c r="K119" s="192"/>
      <c r="L119" s="192"/>
      <c r="M119" s="192"/>
      <c r="N119" s="192"/>
      <c r="O119" s="192"/>
      <c r="P119" s="192"/>
      <c r="Q119" s="192"/>
    </row>
    <row r="120" spans="6:17">
      <c r="F120" s="233"/>
      <c r="H120" s="192"/>
      <c r="J120" s="192"/>
      <c r="K120" s="192"/>
      <c r="L120" s="192"/>
      <c r="M120" s="192"/>
      <c r="N120" s="192"/>
      <c r="O120" s="192"/>
      <c r="P120" s="192"/>
      <c r="Q120" s="192"/>
    </row>
    <row r="121" spans="6:17">
      <c r="F121" s="233"/>
      <c r="H121" s="192"/>
      <c r="J121" s="192"/>
      <c r="K121" s="192"/>
      <c r="L121" s="192"/>
      <c r="M121" s="192"/>
      <c r="N121" s="192"/>
      <c r="O121" s="192"/>
      <c r="P121" s="192"/>
      <c r="Q121" s="192"/>
    </row>
    <row r="122" spans="6:17">
      <c r="F122" s="233"/>
      <c r="H122" s="192"/>
      <c r="J122" s="192"/>
      <c r="K122" s="192"/>
      <c r="L122" s="192"/>
      <c r="M122" s="192"/>
      <c r="N122" s="192"/>
      <c r="O122" s="192"/>
      <c r="P122" s="192"/>
      <c r="Q122" s="192"/>
    </row>
    <row r="123" spans="6:17">
      <c r="F123" s="233"/>
      <c r="H123" s="192"/>
      <c r="J123" s="192"/>
      <c r="K123" s="192"/>
      <c r="L123" s="192"/>
      <c r="M123" s="192"/>
      <c r="N123" s="192"/>
      <c r="O123" s="192"/>
      <c r="P123" s="192"/>
      <c r="Q123" s="192"/>
    </row>
    <row r="124" spans="6:17">
      <c r="F124" s="233"/>
      <c r="H124" s="192"/>
      <c r="J124" s="192"/>
      <c r="K124" s="192"/>
      <c r="L124" s="192"/>
      <c r="M124" s="192"/>
      <c r="N124" s="192"/>
      <c r="O124" s="192"/>
      <c r="P124" s="192"/>
      <c r="Q124" s="192"/>
    </row>
    <row r="125" spans="6:17">
      <c r="F125" s="233"/>
      <c r="H125" s="192"/>
      <c r="J125" s="192"/>
      <c r="K125" s="192"/>
      <c r="L125" s="192"/>
      <c r="M125" s="192"/>
      <c r="N125" s="192"/>
      <c r="O125" s="192"/>
      <c r="P125" s="192"/>
      <c r="Q125" s="192"/>
    </row>
    <row r="126" spans="6:17">
      <c r="F126" s="233"/>
      <c r="H126" s="192"/>
      <c r="J126" s="192"/>
      <c r="K126" s="192"/>
      <c r="L126" s="192"/>
      <c r="M126" s="192"/>
      <c r="N126" s="192"/>
      <c r="O126" s="192"/>
      <c r="P126" s="192"/>
      <c r="Q126" s="192"/>
    </row>
    <row r="127" spans="6:17">
      <c r="F127" s="233"/>
      <c r="H127" s="192"/>
      <c r="J127" s="192"/>
      <c r="K127" s="192"/>
      <c r="L127" s="192"/>
      <c r="M127" s="192"/>
      <c r="N127" s="192"/>
      <c r="O127" s="192"/>
      <c r="P127" s="192"/>
      <c r="Q127" s="192"/>
    </row>
    <row r="128" spans="6:17">
      <c r="F128" s="233"/>
      <c r="H128" s="192"/>
      <c r="J128" s="192"/>
      <c r="K128" s="192"/>
      <c r="L128" s="192"/>
      <c r="M128" s="192"/>
      <c r="N128" s="192"/>
      <c r="O128" s="192"/>
      <c r="P128" s="192"/>
      <c r="Q128" s="192"/>
    </row>
    <row r="129" spans="6:17">
      <c r="F129" s="233"/>
      <c r="H129" s="192"/>
      <c r="J129" s="192"/>
      <c r="K129" s="192"/>
      <c r="L129" s="192"/>
      <c r="M129" s="192"/>
      <c r="N129" s="192"/>
      <c r="O129" s="192"/>
      <c r="P129" s="192"/>
      <c r="Q129" s="192"/>
    </row>
    <row r="130" spans="6:17">
      <c r="F130" s="233"/>
      <c r="H130" s="192"/>
      <c r="J130" s="192"/>
      <c r="K130" s="192"/>
      <c r="L130" s="192"/>
      <c r="M130" s="192"/>
      <c r="N130" s="192"/>
      <c r="O130" s="192"/>
      <c r="P130" s="192"/>
      <c r="Q130" s="192"/>
    </row>
    <row r="131" spans="6:17">
      <c r="F131" s="233"/>
      <c r="H131" s="192"/>
      <c r="J131" s="192"/>
      <c r="K131" s="192"/>
      <c r="L131" s="192"/>
      <c r="M131" s="192"/>
      <c r="N131" s="192"/>
      <c r="O131" s="192"/>
      <c r="P131" s="192"/>
      <c r="Q131" s="192"/>
    </row>
    <row r="132" spans="6:17">
      <c r="F132" s="233"/>
      <c r="H132" s="192"/>
      <c r="J132" s="192"/>
      <c r="K132" s="192"/>
      <c r="L132" s="192"/>
      <c r="M132" s="192"/>
      <c r="N132" s="192"/>
      <c r="O132" s="192"/>
      <c r="P132" s="192"/>
      <c r="Q132" s="192"/>
    </row>
    <row r="133" spans="6:17">
      <c r="F133" s="233"/>
      <c r="H133" s="192"/>
      <c r="J133" s="192"/>
      <c r="K133" s="192"/>
      <c r="L133" s="192"/>
      <c r="M133" s="192"/>
      <c r="N133" s="192"/>
      <c r="O133" s="192"/>
      <c r="P133" s="192"/>
      <c r="Q133" s="192"/>
    </row>
    <row r="134" spans="6:17">
      <c r="F134" s="233"/>
      <c r="H134" s="192"/>
      <c r="J134" s="192"/>
      <c r="K134" s="192"/>
      <c r="L134" s="192"/>
      <c r="M134" s="192"/>
      <c r="N134" s="192"/>
      <c r="O134" s="192"/>
      <c r="P134" s="192"/>
      <c r="Q134" s="192"/>
    </row>
    <row r="135" spans="6:17">
      <c r="F135" s="233"/>
      <c r="H135" s="192"/>
      <c r="J135" s="192"/>
      <c r="K135" s="192"/>
      <c r="L135" s="192"/>
      <c r="M135" s="192"/>
      <c r="N135" s="192"/>
      <c r="O135" s="192"/>
      <c r="P135" s="192"/>
      <c r="Q135" s="192"/>
    </row>
    <row r="136" spans="6:17">
      <c r="F136" s="233"/>
      <c r="H136" s="192"/>
      <c r="J136" s="192"/>
      <c r="K136" s="192"/>
      <c r="L136" s="192"/>
      <c r="M136" s="192"/>
      <c r="N136" s="192"/>
      <c r="O136" s="192"/>
      <c r="P136" s="192"/>
      <c r="Q136" s="192"/>
    </row>
    <row r="137" spans="6:17">
      <c r="F137" s="233"/>
      <c r="H137" s="192"/>
      <c r="J137" s="192"/>
      <c r="K137" s="192"/>
      <c r="L137" s="192"/>
      <c r="M137" s="192"/>
      <c r="N137" s="192"/>
      <c r="O137" s="192"/>
      <c r="P137" s="192"/>
      <c r="Q137" s="192"/>
    </row>
    <row r="138" spans="6:17">
      <c r="F138" s="233"/>
      <c r="H138" s="192"/>
      <c r="J138" s="192"/>
      <c r="K138" s="192"/>
      <c r="L138" s="192"/>
      <c r="M138" s="192"/>
      <c r="N138" s="192"/>
      <c r="O138" s="192"/>
      <c r="P138" s="192"/>
      <c r="Q138" s="192"/>
    </row>
    <row r="139" spans="6:17">
      <c r="F139" s="233"/>
      <c r="H139" s="192"/>
      <c r="J139" s="192"/>
      <c r="K139" s="192"/>
      <c r="L139" s="192"/>
      <c r="M139" s="192"/>
      <c r="N139" s="192"/>
      <c r="O139" s="192"/>
      <c r="P139" s="192"/>
      <c r="Q139" s="192"/>
    </row>
    <row r="140" spans="6:17">
      <c r="F140" s="233"/>
      <c r="H140" s="192"/>
      <c r="J140" s="192"/>
      <c r="K140" s="192"/>
      <c r="L140" s="192"/>
      <c r="M140" s="192"/>
      <c r="N140" s="192"/>
      <c r="O140" s="192"/>
      <c r="P140" s="192"/>
      <c r="Q140" s="192"/>
    </row>
    <row r="141" spans="6:17">
      <c r="F141" s="233"/>
      <c r="H141" s="192"/>
      <c r="J141" s="192"/>
      <c r="K141" s="192"/>
      <c r="L141" s="192"/>
      <c r="M141" s="192"/>
      <c r="N141" s="192"/>
      <c r="O141" s="192"/>
      <c r="P141" s="192"/>
      <c r="Q141" s="192"/>
    </row>
    <row r="142" spans="6:17">
      <c r="F142" s="233"/>
      <c r="H142" s="192"/>
      <c r="J142" s="192"/>
      <c r="K142" s="192"/>
      <c r="L142" s="192"/>
      <c r="M142" s="192"/>
      <c r="N142" s="192"/>
      <c r="O142" s="192"/>
      <c r="P142" s="192"/>
      <c r="Q142" s="192"/>
    </row>
    <row r="143" spans="6:17">
      <c r="F143" s="233"/>
      <c r="H143" s="192"/>
      <c r="J143" s="192"/>
      <c r="K143" s="192"/>
      <c r="L143" s="192"/>
      <c r="M143" s="192"/>
      <c r="N143" s="192"/>
      <c r="O143" s="192"/>
      <c r="P143" s="192"/>
      <c r="Q143" s="192"/>
    </row>
    <row r="144" spans="6:17">
      <c r="F144" s="233"/>
      <c r="H144" s="192"/>
      <c r="J144" s="192"/>
      <c r="K144" s="192"/>
      <c r="L144" s="192"/>
      <c r="M144" s="192"/>
      <c r="N144" s="192"/>
      <c r="O144" s="192"/>
      <c r="P144" s="192"/>
      <c r="Q144" s="192"/>
    </row>
    <row r="145" spans="6:17">
      <c r="F145" s="233"/>
      <c r="H145" s="192"/>
      <c r="J145" s="192"/>
      <c r="K145" s="192"/>
      <c r="L145" s="192"/>
      <c r="M145" s="192"/>
      <c r="N145" s="192"/>
      <c r="O145" s="192"/>
      <c r="P145" s="192"/>
      <c r="Q145" s="192"/>
    </row>
    <row r="146" spans="6:17">
      <c r="F146" s="233"/>
      <c r="H146" s="192"/>
      <c r="J146" s="192"/>
      <c r="K146" s="192"/>
      <c r="L146" s="192"/>
      <c r="M146" s="192"/>
      <c r="N146" s="192"/>
      <c r="O146" s="192"/>
      <c r="P146" s="192"/>
      <c r="Q146" s="192"/>
    </row>
    <row r="147" spans="6:17">
      <c r="F147" s="233"/>
      <c r="H147" s="192"/>
      <c r="J147" s="192"/>
      <c r="K147" s="192"/>
      <c r="L147" s="192"/>
      <c r="M147" s="192"/>
      <c r="N147" s="192"/>
      <c r="O147" s="192"/>
      <c r="P147" s="192"/>
      <c r="Q147" s="192"/>
    </row>
    <row r="148" spans="6:17">
      <c r="F148" s="233"/>
      <c r="H148" s="192"/>
      <c r="J148" s="192"/>
      <c r="K148" s="192"/>
      <c r="L148" s="192"/>
      <c r="M148" s="192"/>
      <c r="N148" s="192"/>
      <c r="O148" s="192"/>
      <c r="P148" s="192"/>
      <c r="Q148" s="192"/>
    </row>
    <row r="149" spans="6:17">
      <c r="F149" s="233"/>
      <c r="H149" s="192"/>
      <c r="J149" s="192"/>
      <c r="K149" s="192"/>
      <c r="L149" s="192"/>
      <c r="M149" s="192"/>
      <c r="N149" s="192"/>
      <c r="O149" s="192"/>
      <c r="P149" s="192"/>
      <c r="Q149" s="192"/>
    </row>
    <row r="150" spans="6:17">
      <c r="F150" s="233"/>
      <c r="H150" s="192"/>
      <c r="J150" s="192"/>
      <c r="K150" s="192"/>
      <c r="L150" s="192"/>
      <c r="M150" s="192"/>
      <c r="N150" s="192"/>
      <c r="O150" s="192"/>
      <c r="P150" s="192"/>
      <c r="Q150" s="192"/>
    </row>
    <row r="151" spans="6:17">
      <c r="F151" s="233"/>
      <c r="H151" s="192"/>
      <c r="J151" s="192"/>
      <c r="K151" s="192"/>
      <c r="L151" s="192"/>
      <c r="M151" s="192"/>
      <c r="N151" s="192"/>
      <c r="O151" s="192"/>
      <c r="P151" s="192"/>
      <c r="Q151" s="192"/>
    </row>
    <row r="152" spans="6:17">
      <c r="F152" s="233"/>
      <c r="H152" s="192"/>
      <c r="J152" s="192"/>
      <c r="K152" s="192"/>
      <c r="L152" s="192"/>
      <c r="M152" s="192"/>
      <c r="N152" s="192"/>
      <c r="O152" s="192"/>
      <c r="P152" s="192"/>
      <c r="Q152" s="192"/>
    </row>
    <row r="153" spans="6:17">
      <c r="F153" s="233"/>
      <c r="H153" s="192"/>
      <c r="J153" s="192"/>
      <c r="K153" s="192"/>
      <c r="L153" s="192"/>
      <c r="M153" s="192"/>
      <c r="N153" s="192"/>
      <c r="O153" s="192"/>
      <c r="P153" s="192"/>
      <c r="Q153" s="192"/>
    </row>
    <row r="154" spans="6:17">
      <c r="F154" s="233"/>
      <c r="H154" s="192"/>
      <c r="J154" s="192"/>
      <c r="K154" s="192"/>
      <c r="L154" s="192"/>
      <c r="M154" s="192"/>
      <c r="N154" s="192"/>
      <c r="O154" s="192"/>
      <c r="P154" s="192"/>
      <c r="Q154" s="192"/>
    </row>
    <row r="155" spans="6:17">
      <c r="F155" s="233"/>
      <c r="H155" s="192"/>
      <c r="J155" s="192"/>
      <c r="K155" s="192"/>
      <c r="L155" s="192"/>
      <c r="M155" s="192"/>
      <c r="N155" s="192"/>
      <c r="O155" s="192"/>
      <c r="P155" s="192"/>
      <c r="Q155" s="192"/>
    </row>
    <row r="156" spans="6:17">
      <c r="F156" s="233"/>
      <c r="H156" s="192"/>
      <c r="J156" s="192"/>
      <c r="K156" s="192"/>
      <c r="L156" s="192"/>
      <c r="M156" s="192"/>
      <c r="N156" s="192"/>
      <c r="O156" s="192"/>
      <c r="P156" s="192"/>
      <c r="Q156" s="192"/>
    </row>
    <row r="157" spans="6:17">
      <c r="F157" s="233"/>
      <c r="H157" s="192"/>
      <c r="J157" s="192"/>
      <c r="K157" s="192"/>
      <c r="L157" s="192"/>
      <c r="M157" s="192"/>
      <c r="N157" s="192"/>
      <c r="O157" s="192"/>
      <c r="P157" s="192"/>
      <c r="Q157" s="192"/>
    </row>
    <row r="158" spans="6:17">
      <c r="F158" s="233"/>
      <c r="H158" s="192"/>
      <c r="J158" s="192"/>
      <c r="K158" s="192"/>
      <c r="L158" s="192"/>
      <c r="M158" s="192"/>
      <c r="N158" s="192"/>
      <c r="O158" s="192"/>
      <c r="P158" s="192"/>
      <c r="Q158" s="192"/>
    </row>
    <row r="159" spans="6:17">
      <c r="F159" s="233"/>
      <c r="H159" s="192"/>
      <c r="J159" s="192"/>
      <c r="K159" s="192"/>
      <c r="L159" s="192"/>
      <c r="M159" s="192"/>
      <c r="N159" s="192"/>
      <c r="O159" s="192"/>
      <c r="P159" s="192"/>
      <c r="Q159" s="192"/>
    </row>
    <row r="160" spans="6:17">
      <c r="F160" s="233"/>
      <c r="H160" s="192"/>
      <c r="J160" s="192"/>
      <c r="K160" s="192"/>
      <c r="L160" s="192"/>
      <c r="M160" s="192"/>
      <c r="N160" s="192"/>
      <c r="O160" s="192"/>
      <c r="P160" s="192"/>
      <c r="Q160" s="192"/>
    </row>
    <row r="161" spans="6:17">
      <c r="F161" s="233"/>
      <c r="H161" s="192"/>
      <c r="J161" s="192"/>
      <c r="K161" s="192"/>
      <c r="L161" s="192"/>
      <c r="M161" s="192"/>
      <c r="N161" s="192"/>
      <c r="O161" s="192"/>
      <c r="P161" s="192"/>
      <c r="Q161" s="192"/>
    </row>
    <row r="162" spans="6:17">
      <c r="F162" s="233"/>
      <c r="H162" s="192"/>
      <c r="J162" s="192"/>
      <c r="K162" s="192"/>
      <c r="L162" s="192"/>
      <c r="M162" s="192"/>
      <c r="N162" s="192"/>
      <c r="O162" s="192"/>
      <c r="P162" s="192"/>
      <c r="Q162" s="192"/>
    </row>
    <row r="163" spans="6:17">
      <c r="F163" s="233"/>
      <c r="H163" s="192"/>
      <c r="J163" s="192"/>
      <c r="K163" s="192"/>
      <c r="L163" s="192"/>
      <c r="M163" s="192"/>
      <c r="N163" s="192"/>
      <c r="O163" s="192"/>
      <c r="P163" s="192"/>
      <c r="Q163" s="192"/>
    </row>
    <row r="164" spans="6:17">
      <c r="F164" s="233"/>
      <c r="H164" s="192"/>
      <c r="J164" s="192"/>
      <c r="K164" s="192"/>
      <c r="L164" s="192"/>
      <c r="M164" s="192"/>
      <c r="N164" s="192"/>
      <c r="O164" s="192"/>
      <c r="P164" s="192"/>
      <c r="Q164" s="192"/>
    </row>
    <row r="165" spans="6:17">
      <c r="F165" s="233"/>
      <c r="H165" s="192"/>
      <c r="J165" s="192"/>
      <c r="K165" s="192"/>
      <c r="L165" s="192"/>
      <c r="M165" s="192"/>
      <c r="N165" s="192"/>
      <c r="O165" s="192"/>
      <c r="P165" s="192"/>
      <c r="Q165" s="192"/>
    </row>
    <row r="166" spans="6:17">
      <c r="F166" s="233"/>
      <c r="H166" s="192"/>
      <c r="J166" s="192"/>
      <c r="K166" s="192"/>
      <c r="L166" s="192"/>
      <c r="M166" s="192"/>
      <c r="N166" s="192"/>
      <c r="O166" s="192"/>
      <c r="P166" s="192"/>
      <c r="Q166" s="192"/>
    </row>
    <row r="167" spans="6:17">
      <c r="F167" s="233"/>
      <c r="H167" s="192"/>
      <c r="J167" s="192"/>
      <c r="K167" s="192"/>
      <c r="L167" s="192"/>
      <c r="M167" s="192"/>
      <c r="N167" s="235"/>
    </row>
    <row r="168" spans="6:17">
      <c r="F168" s="233"/>
      <c r="H168" s="192"/>
      <c r="J168" s="192"/>
      <c r="K168" s="192"/>
      <c r="L168" s="192"/>
      <c r="M168" s="192"/>
      <c r="N168" s="235"/>
    </row>
    <row r="169" spans="6:17">
      <c r="F169" s="233"/>
      <c r="H169" s="192"/>
      <c r="J169" s="192"/>
      <c r="K169" s="192"/>
      <c r="L169" s="192"/>
      <c r="M169" s="192"/>
      <c r="N169" s="235"/>
    </row>
    <row r="170" spans="6:17">
      <c r="F170" s="233"/>
      <c r="H170" s="192"/>
      <c r="J170" s="192"/>
      <c r="K170" s="192"/>
      <c r="L170" s="192"/>
      <c r="M170" s="192"/>
      <c r="N170" s="235"/>
    </row>
    <row r="171" spans="6:17">
      <c r="F171" s="233"/>
      <c r="H171" s="192"/>
      <c r="J171" s="192"/>
      <c r="K171" s="192"/>
      <c r="L171" s="192"/>
      <c r="M171" s="192"/>
      <c r="N171" s="235"/>
    </row>
    <row r="172" spans="6:17">
      <c r="F172" s="233"/>
      <c r="H172" s="192"/>
      <c r="J172" s="192"/>
      <c r="K172" s="192"/>
      <c r="L172" s="192"/>
      <c r="M172" s="192"/>
      <c r="N172" s="235"/>
    </row>
    <row r="173" spans="6:17">
      <c r="F173" s="233"/>
      <c r="H173" s="192"/>
      <c r="J173" s="192"/>
      <c r="K173" s="192"/>
      <c r="L173" s="192"/>
      <c r="M173" s="192"/>
      <c r="N173" s="235"/>
    </row>
    <row r="174" spans="6:17">
      <c r="F174" s="233"/>
      <c r="H174" s="192"/>
      <c r="J174" s="192"/>
      <c r="K174" s="192"/>
      <c r="L174" s="192"/>
      <c r="M174" s="192"/>
      <c r="N174" s="235"/>
    </row>
    <row r="175" spans="6:17">
      <c r="F175" s="233"/>
      <c r="H175" s="192"/>
      <c r="J175" s="192"/>
      <c r="K175" s="192"/>
      <c r="L175" s="192"/>
      <c r="M175" s="192"/>
      <c r="N175" s="235"/>
    </row>
    <row r="176" spans="6:17">
      <c r="F176" s="233"/>
      <c r="H176" s="192"/>
      <c r="J176" s="192"/>
      <c r="K176" s="192"/>
      <c r="L176" s="192"/>
      <c r="M176" s="192"/>
      <c r="N176" s="235"/>
    </row>
    <row r="177" spans="6:14">
      <c r="F177" s="233"/>
      <c r="H177" s="192"/>
      <c r="J177" s="192"/>
      <c r="K177" s="192"/>
      <c r="L177" s="192"/>
      <c r="M177" s="192"/>
      <c r="N177" s="235"/>
    </row>
    <row r="178" spans="6:14">
      <c r="F178" s="233"/>
      <c r="H178" s="192"/>
      <c r="J178" s="192"/>
      <c r="K178" s="192"/>
      <c r="L178" s="192"/>
      <c r="M178" s="192"/>
      <c r="N178" s="235"/>
    </row>
    <row r="179" spans="6:14">
      <c r="F179" s="233"/>
      <c r="H179" s="192"/>
      <c r="J179" s="192"/>
      <c r="K179" s="192"/>
      <c r="L179" s="192"/>
      <c r="M179" s="192"/>
      <c r="N179" s="235"/>
    </row>
    <row r="180" spans="6:14">
      <c r="F180" s="233"/>
      <c r="H180" s="192"/>
      <c r="J180" s="192"/>
      <c r="K180" s="192"/>
      <c r="L180" s="192"/>
      <c r="M180" s="192"/>
      <c r="N180" s="235"/>
    </row>
    <row r="181" spans="6:14">
      <c r="F181" s="233"/>
      <c r="H181" s="192"/>
      <c r="J181" s="192"/>
      <c r="K181" s="192"/>
      <c r="L181" s="192"/>
      <c r="M181" s="192"/>
      <c r="N181" s="235"/>
    </row>
    <row r="182" spans="6:14">
      <c r="F182" s="233"/>
      <c r="H182" s="192"/>
      <c r="J182" s="192"/>
      <c r="K182" s="192"/>
      <c r="L182" s="192"/>
      <c r="M182" s="192"/>
      <c r="N182" s="235"/>
    </row>
    <row r="183" spans="6:14">
      <c r="F183" s="233"/>
      <c r="H183" s="192"/>
      <c r="J183" s="192"/>
      <c r="K183" s="192"/>
      <c r="L183" s="192"/>
      <c r="M183" s="192"/>
      <c r="N183" s="235"/>
    </row>
    <row r="184" spans="6:14">
      <c r="F184" s="233"/>
      <c r="H184" s="192"/>
      <c r="J184" s="192"/>
      <c r="K184" s="192"/>
      <c r="L184" s="192"/>
      <c r="M184" s="192"/>
      <c r="N184" s="235"/>
    </row>
    <row r="185" spans="6:14">
      <c r="F185" s="233"/>
      <c r="H185" s="192"/>
      <c r="J185" s="192"/>
      <c r="K185" s="192"/>
      <c r="L185" s="192"/>
      <c r="M185" s="192"/>
      <c r="N185" s="235"/>
    </row>
    <row r="186" spans="6:14">
      <c r="F186" s="233"/>
      <c r="H186" s="192"/>
      <c r="J186" s="192"/>
      <c r="K186" s="192"/>
      <c r="L186" s="192"/>
      <c r="M186" s="192"/>
      <c r="N186" s="235"/>
    </row>
    <row r="187" spans="6:14">
      <c r="F187" s="233"/>
      <c r="H187" s="192"/>
      <c r="J187" s="192"/>
      <c r="K187" s="192"/>
      <c r="L187" s="192"/>
      <c r="M187" s="192"/>
      <c r="N187" s="235"/>
    </row>
    <row r="188" spans="6:14">
      <c r="F188" s="233"/>
      <c r="H188" s="192"/>
      <c r="J188" s="192"/>
      <c r="K188" s="192"/>
      <c r="L188" s="192"/>
      <c r="M188" s="192"/>
      <c r="N188" s="235"/>
    </row>
    <row r="189" spans="6:14">
      <c r="F189" s="233"/>
      <c r="H189" s="192"/>
      <c r="J189" s="192"/>
      <c r="K189" s="192"/>
      <c r="L189" s="192"/>
      <c r="M189" s="192"/>
      <c r="N189" s="235"/>
    </row>
    <row r="190" spans="6:14">
      <c r="F190" s="233"/>
      <c r="H190" s="192"/>
      <c r="J190" s="192"/>
      <c r="K190" s="192"/>
      <c r="L190" s="192"/>
      <c r="M190" s="192"/>
      <c r="N190" s="235"/>
    </row>
    <row r="191" spans="6:14">
      <c r="F191" s="233"/>
      <c r="H191" s="192"/>
      <c r="J191" s="192"/>
      <c r="K191" s="192"/>
      <c r="L191" s="192"/>
      <c r="M191" s="192"/>
      <c r="N191" s="235"/>
    </row>
    <row r="192" spans="6:14">
      <c r="F192" s="233"/>
      <c r="H192" s="192"/>
      <c r="J192" s="192"/>
      <c r="K192" s="192"/>
      <c r="L192" s="192"/>
      <c r="M192" s="192"/>
      <c r="N192" s="235"/>
    </row>
    <row r="193" spans="6:14">
      <c r="F193" s="233"/>
      <c r="H193" s="192"/>
      <c r="J193" s="192"/>
      <c r="K193" s="192"/>
      <c r="L193" s="192"/>
      <c r="M193" s="192"/>
      <c r="N193" s="235"/>
    </row>
    <row r="194" spans="6:14">
      <c r="F194" s="233"/>
      <c r="H194" s="192"/>
      <c r="J194" s="192"/>
      <c r="K194" s="192"/>
      <c r="L194" s="192"/>
      <c r="M194" s="192"/>
      <c r="N194" s="235"/>
    </row>
    <row r="195" spans="6:14">
      <c r="F195" s="233"/>
      <c r="H195" s="192"/>
      <c r="J195" s="192"/>
      <c r="K195" s="192"/>
      <c r="L195" s="192"/>
      <c r="M195" s="192"/>
      <c r="N195" s="235"/>
    </row>
    <row r="196" spans="6:14">
      <c r="F196" s="233"/>
      <c r="H196" s="192"/>
      <c r="J196" s="192"/>
      <c r="K196" s="192"/>
      <c r="L196" s="192"/>
      <c r="M196" s="192"/>
      <c r="N196" s="235"/>
    </row>
    <row r="197" spans="6:14">
      <c r="F197" s="233"/>
      <c r="H197" s="192"/>
      <c r="J197" s="192"/>
      <c r="K197" s="192"/>
      <c r="L197" s="192"/>
      <c r="M197" s="192"/>
      <c r="N197" s="235"/>
    </row>
    <row r="198" spans="6:14">
      <c r="F198" s="233"/>
      <c r="H198" s="192"/>
      <c r="J198" s="192"/>
      <c r="K198" s="192"/>
      <c r="L198" s="192"/>
      <c r="M198" s="192"/>
      <c r="N198" s="235"/>
    </row>
    <row r="199" spans="6:14">
      <c r="F199" s="233"/>
      <c r="H199" s="192"/>
      <c r="J199" s="192"/>
      <c r="K199" s="192"/>
      <c r="L199" s="192"/>
      <c r="M199" s="192"/>
      <c r="N199" s="235"/>
    </row>
    <row r="200" spans="6:14">
      <c r="F200" s="233"/>
      <c r="H200" s="192"/>
      <c r="J200" s="192"/>
      <c r="K200" s="192"/>
      <c r="L200" s="192"/>
      <c r="M200" s="192"/>
      <c r="N200" s="235"/>
    </row>
    <row r="201" spans="6:14">
      <c r="F201" s="233"/>
      <c r="H201" s="192"/>
      <c r="J201" s="192"/>
      <c r="K201" s="192"/>
      <c r="L201" s="192"/>
      <c r="M201" s="192"/>
      <c r="N201" s="235"/>
    </row>
    <row r="202" spans="6:14">
      <c r="F202" s="233"/>
      <c r="H202" s="192"/>
      <c r="J202" s="192"/>
      <c r="K202" s="192"/>
      <c r="L202" s="192"/>
      <c r="M202" s="192"/>
      <c r="N202" s="235"/>
    </row>
    <row r="203" spans="6:14">
      <c r="F203" s="233"/>
      <c r="H203" s="192"/>
      <c r="J203" s="192"/>
      <c r="K203" s="192"/>
      <c r="L203" s="192"/>
      <c r="M203" s="192"/>
      <c r="N203" s="235"/>
    </row>
    <row r="204" spans="6:14">
      <c r="F204" s="233"/>
      <c r="H204" s="192"/>
      <c r="J204" s="192"/>
      <c r="K204" s="192"/>
      <c r="L204" s="192"/>
      <c r="M204" s="192"/>
      <c r="N204" s="235"/>
    </row>
    <row r="205" spans="6:14">
      <c r="F205" s="233"/>
      <c r="H205" s="192"/>
      <c r="J205" s="192"/>
      <c r="K205" s="192"/>
      <c r="L205" s="192"/>
      <c r="M205" s="192"/>
      <c r="N205" s="235"/>
    </row>
    <row r="206" spans="6:14">
      <c r="F206" s="233"/>
      <c r="H206" s="192"/>
      <c r="J206" s="192"/>
      <c r="K206" s="192"/>
      <c r="L206" s="192"/>
      <c r="M206" s="192"/>
      <c r="N206" s="235"/>
    </row>
    <row r="207" spans="6:14">
      <c r="F207" s="233"/>
      <c r="H207" s="192"/>
      <c r="J207" s="192"/>
      <c r="K207" s="192"/>
      <c r="L207" s="192"/>
      <c r="M207" s="192"/>
      <c r="N207" s="235"/>
    </row>
    <row r="208" spans="6:14">
      <c r="F208" s="233"/>
      <c r="H208" s="192"/>
      <c r="J208" s="192"/>
      <c r="K208" s="192"/>
      <c r="L208" s="192"/>
      <c r="M208" s="192"/>
      <c r="N208" s="235"/>
    </row>
    <row r="209" spans="6:14">
      <c r="F209" s="233"/>
      <c r="H209" s="192"/>
      <c r="J209" s="192"/>
      <c r="K209" s="192"/>
      <c r="L209" s="192"/>
      <c r="M209" s="192"/>
      <c r="N209" s="235"/>
    </row>
    <row r="210" spans="6:14">
      <c r="F210" s="233"/>
      <c r="H210" s="192"/>
      <c r="J210" s="192"/>
      <c r="K210" s="192"/>
      <c r="L210" s="192"/>
      <c r="M210" s="192"/>
      <c r="N210" s="235"/>
    </row>
    <row r="211" spans="6:14">
      <c r="F211" s="233"/>
      <c r="H211" s="192"/>
      <c r="J211" s="192"/>
      <c r="K211" s="192"/>
      <c r="L211" s="192"/>
      <c r="M211" s="192"/>
      <c r="N211" s="235"/>
    </row>
    <row r="212" spans="6:14">
      <c r="F212" s="233"/>
      <c r="H212" s="192"/>
      <c r="J212" s="192"/>
      <c r="K212" s="192"/>
      <c r="L212" s="192"/>
      <c r="M212" s="192"/>
      <c r="N212" s="235"/>
    </row>
    <row r="213" spans="6:14">
      <c r="F213" s="233"/>
      <c r="H213" s="192"/>
      <c r="J213" s="192"/>
      <c r="K213" s="192"/>
      <c r="L213" s="192"/>
      <c r="M213" s="192"/>
      <c r="N213" s="235"/>
    </row>
  </sheetData>
  <mergeCells count="54">
    <mergeCell ref="A2:Q2"/>
    <mergeCell ref="C3:K3"/>
    <mergeCell ref="L3:P4"/>
    <mergeCell ref="C4:I4"/>
    <mergeCell ref="J4:K4"/>
    <mergeCell ref="C5:E5"/>
    <mergeCell ref="F5:I6"/>
    <mergeCell ref="J5:K6"/>
    <mergeCell ref="L5:Q6"/>
    <mergeCell ref="C6:E6"/>
    <mergeCell ref="A7:A8"/>
    <mergeCell ref="B7:B8"/>
    <mergeCell ref="C7:C8"/>
    <mergeCell ref="D7:D8"/>
    <mergeCell ref="E7:E8"/>
    <mergeCell ref="A9:A11"/>
    <mergeCell ref="B9:B11"/>
    <mergeCell ref="C9:C11"/>
    <mergeCell ref="D9:D11"/>
    <mergeCell ref="E9:E11"/>
    <mergeCell ref="A12:A14"/>
    <mergeCell ref="B12:B14"/>
    <mergeCell ref="C12:C14"/>
    <mergeCell ref="D12:D14"/>
    <mergeCell ref="E12:E14"/>
    <mergeCell ref="A15:A17"/>
    <mergeCell ref="B15:B17"/>
    <mergeCell ref="C15:C17"/>
    <mergeCell ref="D15:D17"/>
    <mergeCell ref="E15:E17"/>
    <mergeCell ref="A18:A20"/>
    <mergeCell ref="B18:B20"/>
    <mergeCell ref="C18:C20"/>
    <mergeCell ref="D18:D20"/>
    <mergeCell ref="E18:E20"/>
    <mergeCell ref="A21:A23"/>
    <mergeCell ref="B21:B23"/>
    <mergeCell ref="C21:C23"/>
    <mergeCell ref="D21:D23"/>
    <mergeCell ref="E21:E23"/>
    <mergeCell ref="C27:C29"/>
    <mergeCell ref="D27:D29"/>
    <mergeCell ref="E27:E29"/>
    <mergeCell ref="A24:A26"/>
    <mergeCell ref="B24:B26"/>
    <mergeCell ref="C24:C26"/>
    <mergeCell ref="D24:D26"/>
    <mergeCell ref="E24:E26"/>
    <mergeCell ref="A30:B30"/>
    <mergeCell ref="A31:B31"/>
    <mergeCell ref="A32:B32"/>
    <mergeCell ref="A33:B33"/>
    <mergeCell ref="A27:A29"/>
    <mergeCell ref="B27:B29"/>
  </mergeCells>
  <pageMargins left="0.19685039370078741" right="0.19685039370078741" top="0.98425196850393704" bottom="0.39370078740157483" header="0.31496062992125984" footer="0.31496062992125984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92"/>
  <sheetViews>
    <sheetView view="pageBreakPreview" zoomScaleNormal="55" zoomScaleSheetLayoutView="100" workbookViewId="0">
      <selection activeCell="L171" sqref="I1:L1048576"/>
    </sheetView>
  </sheetViews>
  <sheetFormatPr defaultRowHeight="15"/>
  <cols>
    <col min="1" max="1" width="15.5703125" style="259" customWidth="1"/>
    <col min="2" max="2" width="70.140625" style="259" customWidth="1"/>
    <col min="3" max="4" width="7.5703125" style="69" customWidth="1"/>
    <col min="5" max="5" width="10.7109375" style="69" customWidth="1"/>
    <col min="6" max="6" width="12.42578125" style="69" bestFit="1" customWidth="1"/>
    <col min="9" max="9" width="13.28515625" hidden="1" customWidth="1"/>
    <col min="10" max="12" width="0" hidden="1" customWidth="1"/>
  </cols>
  <sheetData>
    <row r="1" spans="1:7" s="68" customFormat="1" ht="118.5" customHeight="1" thickBot="1">
      <c r="A1" s="81"/>
      <c r="B1" s="82"/>
      <c r="C1" s="85"/>
      <c r="D1" s="83"/>
      <c r="E1" s="83"/>
      <c r="F1" s="323"/>
    </row>
    <row r="2" spans="1:7" ht="25.5" customHeight="1">
      <c r="A2" s="260" t="s">
        <v>693</v>
      </c>
      <c r="B2" s="261" t="s">
        <v>321</v>
      </c>
      <c r="C2" s="893" t="s">
        <v>641</v>
      </c>
      <c r="D2" s="894"/>
      <c r="E2" s="304" t="s">
        <v>229</v>
      </c>
      <c r="F2" s="280">
        <f>F18</f>
        <v>270.32948799999997</v>
      </c>
    </row>
    <row r="3" spans="1:7">
      <c r="A3" s="504" t="s">
        <v>254</v>
      </c>
      <c r="B3" s="333" t="s">
        <v>23</v>
      </c>
      <c r="C3" s="334"/>
      <c r="D3" s="335"/>
      <c r="E3" s="336" t="s">
        <v>228</v>
      </c>
      <c r="F3" s="505" t="str">
        <f>'[1]Planilha Orçamentária'!E11</f>
        <v>un</v>
      </c>
    </row>
    <row r="4" spans="1:7">
      <c r="A4" s="147" t="s">
        <v>240</v>
      </c>
      <c r="B4" s="148"/>
      <c r="C4" s="149"/>
      <c r="D4" s="150"/>
      <c r="E4" s="151"/>
      <c r="F4" s="281"/>
    </row>
    <row r="5" spans="1:7">
      <c r="A5" s="297" t="s">
        <v>237</v>
      </c>
      <c r="B5" s="153" t="s">
        <v>106</v>
      </c>
      <c r="C5" s="153" t="s">
        <v>238</v>
      </c>
      <c r="D5" s="153" t="s">
        <v>107</v>
      </c>
      <c r="E5" s="153" t="s">
        <v>239</v>
      </c>
      <c r="F5" s="282" t="s">
        <v>108</v>
      </c>
    </row>
    <row r="6" spans="1:7">
      <c r="A6" s="298"/>
      <c r="B6" s="299"/>
      <c r="C6" s="305"/>
      <c r="D6" s="306"/>
      <c r="E6" s="306"/>
      <c r="F6" s="283"/>
    </row>
    <row r="7" spans="1:7">
      <c r="A7" s="155"/>
      <c r="B7" s="290"/>
      <c r="C7" s="156"/>
      <c r="D7" s="70" t="s">
        <v>109</v>
      </c>
      <c r="E7" s="70"/>
      <c r="F7" s="75">
        <f>SUM(F6:F6)</f>
        <v>0</v>
      </c>
    </row>
    <row r="8" spans="1:7">
      <c r="A8" s="155"/>
      <c r="B8" s="290"/>
      <c r="C8" s="72" t="s">
        <v>242</v>
      </c>
      <c r="D8" s="72"/>
      <c r="E8" s="157">
        <v>0</v>
      </c>
      <c r="F8" s="284">
        <f>F7*E8</f>
        <v>0</v>
      </c>
    </row>
    <row r="9" spans="1:7">
      <c r="A9" s="895"/>
      <c r="B9" s="896"/>
      <c r="C9" s="71" t="s">
        <v>110</v>
      </c>
      <c r="D9" s="71"/>
      <c r="E9" s="71"/>
      <c r="F9" s="75">
        <f>F8+F7</f>
        <v>0</v>
      </c>
    </row>
    <row r="10" spans="1:7">
      <c r="A10" s="158" t="s">
        <v>241</v>
      </c>
      <c r="B10" s="159"/>
      <c r="C10" s="268"/>
      <c r="D10" s="268"/>
      <c r="E10" s="268"/>
      <c r="F10" s="285"/>
    </row>
    <row r="11" spans="1:7">
      <c r="A11" s="162" t="s">
        <v>237</v>
      </c>
      <c r="B11" s="108" t="s">
        <v>106</v>
      </c>
      <c r="C11" s="269" t="s">
        <v>238</v>
      </c>
      <c r="D11" s="269" t="s">
        <v>107</v>
      </c>
      <c r="E11" s="269" t="s">
        <v>239</v>
      </c>
      <c r="F11" s="286" t="s">
        <v>108</v>
      </c>
    </row>
    <row r="12" spans="1:7" ht="26.25" customHeight="1">
      <c r="A12" s="298" t="s">
        <v>327</v>
      </c>
      <c r="B12" s="300" t="s">
        <v>328</v>
      </c>
      <c r="C12" s="262" t="s">
        <v>0</v>
      </c>
      <c r="D12" s="263">
        <v>1</v>
      </c>
      <c r="E12" s="263">
        <v>214.82</v>
      </c>
      <c r="F12" s="283">
        <f>E12*D12</f>
        <v>214.82</v>
      </c>
    </row>
    <row r="13" spans="1:7">
      <c r="A13" s="301"/>
      <c r="B13" s="302"/>
      <c r="C13" s="270"/>
      <c r="D13" s="271"/>
      <c r="E13" s="271"/>
      <c r="F13" s="287"/>
    </row>
    <row r="14" spans="1:7" ht="36">
      <c r="A14" s="303"/>
      <c r="B14" s="296" t="s">
        <v>639</v>
      </c>
      <c r="C14" s="272"/>
      <c r="D14" s="272"/>
      <c r="E14" s="272"/>
      <c r="F14" s="288"/>
    </row>
    <row r="15" spans="1:7">
      <c r="A15" s="273"/>
      <c r="B15" s="274"/>
      <c r="C15" s="275"/>
      <c r="D15" s="123" t="s">
        <v>111</v>
      </c>
      <c r="E15" s="123"/>
      <c r="F15" s="284">
        <f>F12</f>
        <v>214.82</v>
      </c>
    </row>
    <row r="16" spans="1:7">
      <c r="A16" s="264"/>
      <c r="B16" s="265"/>
      <c r="C16" s="266"/>
      <c r="D16" s="72" t="s">
        <v>266</v>
      </c>
      <c r="E16" s="267"/>
      <c r="G16" s="315"/>
    </row>
    <row r="17" spans="1:6">
      <c r="A17" s="264"/>
      <c r="B17" s="265"/>
      <c r="C17" s="266"/>
      <c r="D17" s="266" t="s">
        <v>243</v>
      </c>
      <c r="E17" s="276">
        <v>0.25840000000000002</v>
      </c>
      <c r="F17" s="284">
        <f>F15*E17</f>
        <v>55.509488000000005</v>
      </c>
    </row>
    <row r="18" spans="1:6">
      <c r="A18" s="897"/>
      <c r="B18" s="898"/>
      <c r="C18" s="277"/>
      <c r="D18" s="73" t="s">
        <v>112</v>
      </c>
      <c r="E18" s="74"/>
      <c r="F18" s="77">
        <f>F17+F15</f>
        <v>270.32948799999997</v>
      </c>
    </row>
    <row r="19" spans="1:6" ht="15.75" thickBot="1">
      <c r="A19" s="901"/>
      <c r="B19" s="901"/>
      <c r="C19" s="901"/>
      <c r="D19" s="901"/>
      <c r="E19" s="901"/>
      <c r="F19" s="901"/>
    </row>
    <row r="20" spans="1:6" ht="25.5" customHeight="1">
      <c r="A20" s="260" t="str">
        <f>'ANEXO V- Planilha Orçamentária'!B12</f>
        <v>MDF-Man-0002/17</v>
      </c>
      <c r="B20" s="261" t="str">
        <f>'[1]Planilha Orçamentária'!D12</f>
        <v>Taxa Anotação de Responsabilidade Técnica do Engenheiro - ART CREA / DF</v>
      </c>
      <c r="C20" s="318" t="s">
        <v>641</v>
      </c>
      <c r="D20" s="278"/>
      <c r="E20" s="279" t="s">
        <v>229</v>
      </c>
      <c r="F20" s="289">
        <f>F34</f>
        <v>102.597352</v>
      </c>
    </row>
    <row r="21" spans="1:6">
      <c r="A21" s="332" t="s">
        <v>254</v>
      </c>
      <c r="B21" s="333" t="s">
        <v>23</v>
      </c>
      <c r="C21" s="334"/>
      <c r="D21" s="335"/>
      <c r="E21" s="336" t="s">
        <v>228</v>
      </c>
      <c r="F21" s="337" t="str">
        <f>'[1]Planilha Orçamentária'!E12</f>
        <v>un</v>
      </c>
    </row>
    <row r="22" spans="1:6">
      <c r="A22" s="147" t="s">
        <v>240</v>
      </c>
      <c r="B22" s="148"/>
      <c r="C22" s="149"/>
      <c r="D22" s="150"/>
      <c r="E22" s="151"/>
      <c r="F22" s="152"/>
    </row>
    <row r="23" spans="1:6">
      <c r="A23" s="297" t="s">
        <v>237</v>
      </c>
      <c r="B23" s="153" t="s">
        <v>106</v>
      </c>
      <c r="C23" s="153" t="s">
        <v>238</v>
      </c>
      <c r="D23" s="153" t="s">
        <v>107</v>
      </c>
      <c r="E23" s="153" t="s">
        <v>239</v>
      </c>
      <c r="F23" s="154" t="s">
        <v>108</v>
      </c>
    </row>
    <row r="24" spans="1:6">
      <c r="A24" s="298"/>
      <c r="B24" s="299"/>
      <c r="C24" s="305"/>
      <c r="D24" s="306"/>
      <c r="E24" s="306"/>
      <c r="F24" s="317">
        <f>E24*D24</f>
        <v>0</v>
      </c>
    </row>
    <row r="25" spans="1:6">
      <c r="A25" s="155"/>
      <c r="B25" s="290"/>
      <c r="C25" s="156"/>
      <c r="D25" s="70" t="s">
        <v>109</v>
      </c>
      <c r="E25" s="70"/>
      <c r="F25" s="75">
        <f>SUM(F24:F24)</f>
        <v>0</v>
      </c>
    </row>
    <row r="26" spans="1:6">
      <c r="A26" s="155"/>
      <c r="B26" s="290"/>
      <c r="C26" s="72" t="s">
        <v>242</v>
      </c>
      <c r="D26" s="72"/>
      <c r="E26" s="157">
        <v>0</v>
      </c>
      <c r="F26" s="76">
        <f>F25*E26</f>
        <v>0</v>
      </c>
    </row>
    <row r="27" spans="1:6">
      <c r="A27" s="155"/>
      <c r="B27" s="290"/>
      <c r="C27" s="71" t="s">
        <v>110</v>
      </c>
      <c r="D27" s="71"/>
      <c r="E27" s="71"/>
      <c r="F27" s="75">
        <f>F26+F25</f>
        <v>0</v>
      </c>
    </row>
    <row r="28" spans="1:6">
      <c r="A28" s="158" t="s">
        <v>241</v>
      </c>
      <c r="B28" s="159"/>
      <c r="C28" s="160"/>
      <c r="D28" s="160"/>
      <c r="E28" s="160"/>
      <c r="F28" s="161"/>
    </row>
    <row r="29" spans="1:6">
      <c r="A29" s="162" t="s">
        <v>237</v>
      </c>
      <c r="B29" s="108" t="s">
        <v>106</v>
      </c>
      <c r="C29" s="108" t="s">
        <v>238</v>
      </c>
      <c r="D29" s="108" t="s">
        <v>107</v>
      </c>
      <c r="E29" s="108" t="s">
        <v>239</v>
      </c>
      <c r="F29" s="109" t="s">
        <v>108</v>
      </c>
    </row>
    <row r="30" spans="1:6" ht="24">
      <c r="A30" s="298" t="s">
        <v>327</v>
      </c>
      <c r="B30" s="300" t="s">
        <v>333</v>
      </c>
      <c r="C30" s="305" t="s">
        <v>0</v>
      </c>
      <c r="D30" s="306">
        <v>1</v>
      </c>
      <c r="E30" s="306">
        <v>81.53</v>
      </c>
      <c r="F30" s="317">
        <f>E30*D30</f>
        <v>81.53</v>
      </c>
    </row>
    <row r="31" spans="1:6">
      <c r="A31" s="155"/>
      <c r="B31" s="290"/>
      <c r="C31" s="156"/>
      <c r="D31" s="70" t="s">
        <v>111</v>
      </c>
      <c r="E31" s="70"/>
      <c r="F31" s="75">
        <f>F30</f>
        <v>81.53</v>
      </c>
    </row>
    <row r="32" spans="1:6">
      <c r="A32" s="155"/>
      <c r="B32" s="290"/>
      <c r="C32" s="156"/>
      <c r="D32" s="72" t="s">
        <v>266</v>
      </c>
      <c r="E32" s="72"/>
      <c r="F32" s="76">
        <f>F31+F27</f>
        <v>81.53</v>
      </c>
    </row>
    <row r="33" spans="1:6">
      <c r="A33" s="155"/>
      <c r="B33" s="290"/>
      <c r="C33" s="156"/>
      <c r="D33" s="156" t="s">
        <v>243</v>
      </c>
      <c r="E33" s="163">
        <v>0.25840000000000002</v>
      </c>
      <c r="F33" s="76">
        <f>F32*E33</f>
        <v>21.067352000000003</v>
      </c>
    </row>
    <row r="34" spans="1:6">
      <c r="A34" s="264"/>
      <c r="B34" s="265"/>
      <c r="C34" s="266"/>
      <c r="D34" s="73" t="s">
        <v>112</v>
      </c>
      <c r="E34" s="74"/>
      <c r="F34" s="77">
        <f>F33+F32</f>
        <v>102.597352</v>
      </c>
    </row>
    <row r="35" spans="1:6">
      <c r="A35" s="905"/>
      <c r="B35" s="905"/>
      <c r="C35" s="905"/>
      <c r="D35" s="905"/>
      <c r="E35" s="905"/>
      <c r="F35" s="905"/>
    </row>
    <row r="36" spans="1:6" ht="15.75" thickBot="1">
      <c r="A36" s="906"/>
      <c r="B36" s="906"/>
      <c r="C36" s="906"/>
      <c r="D36" s="906"/>
      <c r="E36" s="906"/>
      <c r="F36" s="906"/>
    </row>
    <row r="37" spans="1:6" ht="25.5" customHeight="1">
      <c r="A37" s="146" t="str">
        <f>'ANEXO V- Planilha Orçamentária'!B16</f>
        <v>MDF-Man-0003/17</v>
      </c>
      <c r="B37" s="166" t="s">
        <v>334</v>
      </c>
      <c r="C37" s="907" t="s">
        <v>641</v>
      </c>
      <c r="D37" s="908"/>
      <c r="E37" s="164" t="s">
        <v>229</v>
      </c>
      <c r="F37" s="165">
        <f>F52-(G52*2)</f>
        <v>-1080</v>
      </c>
    </row>
    <row r="38" spans="1:6">
      <c r="A38" s="332" t="s">
        <v>254</v>
      </c>
      <c r="B38" s="333" t="s">
        <v>260</v>
      </c>
      <c r="C38" s="334"/>
      <c r="D38" s="335"/>
      <c r="E38" s="336" t="s">
        <v>228</v>
      </c>
      <c r="F38" s="337" t="s">
        <v>12</v>
      </c>
    </row>
    <row r="39" spans="1:6">
      <c r="A39" s="147" t="s">
        <v>240</v>
      </c>
      <c r="B39" s="148"/>
      <c r="C39" s="149"/>
      <c r="D39" s="150"/>
      <c r="E39" s="151"/>
      <c r="F39" s="152"/>
    </row>
    <row r="40" spans="1:6">
      <c r="A40" s="297" t="s">
        <v>237</v>
      </c>
      <c r="B40" s="153" t="s">
        <v>106</v>
      </c>
      <c r="C40" s="153" t="s">
        <v>238</v>
      </c>
      <c r="D40" s="153" t="s">
        <v>107</v>
      </c>
      <c r="E40" s="153" t="s">
        <v>239</v>
      </c>
      <c r="F40" s="154" t="s">
        <v>108</v>
      </c>
    </row>
    <row r="41" spans="1:6">
      <c r="A41" s="167"/>
      <c r="B41" s="320"/>
      <c r="C41" s="168"/>
      <c r="D41" s="168"/>
      <c r="E41" s="168"/>
      <c r="F41" s="170"/>
    </row>
    <row r="42" spans="1:6">
      <c r="A42" s="155"/>
      <c r="B42" s="290"/>
      <c r="C42" s="156"/>
      <c r="D42" s="70" t="s">
        <v>109</v>
      </c>
      <c r="E42" s="70"/>
      <c r="F42" s="75">
        <f>SUM(F41:F41)</f>
        <v>0</v>
      </c>
    </row>
    <row r="43" spans="1:6">
      <c r="A43" s="155"/>
      <c r="B43" s="290"/>
      <c r="C43" s="72" t="s">
        <v>244</v>
      </c>
      <c r="D43" s="72"/>
      <c r="E43" s="157">
        <v>0</v>
      </c>
      <c r="F43" s="76">
        <f>F42*E43</f>
        <v>0</v>
      </c>
    </row>
    <row r="44" spans="1:6">
      <c r="A44" s="155"/>
      <c r="B44" s="290"/>
      <c r="C44" s="71" t="s">
        <v>110</v>
      </c>
      <c r="D44" s="71"/>
      <c r="E44" s="71"/>
      <c r="F44" s="75">
        <f>F43+F42</f>
        <v>0</v>
      </c>
    </row>
    <row r="45" spans="1:6">
      <c r="A45" s="158" t="s">
        <v>241</v>
      </c>
      <c r="B45" s="159"/>
      <c r="C45" s="160"/>
      <c r="D45" s="160"/>
      <c r="E45" s="160"/>
      <c r="F45" s="161"/>
    </row>
    <row r="46" spans="1:6">
      <c r="A46" s="162" t="s">
        <v>237</v>
      </c>
      <c r="B46" s="108" t="s">
        <v>106</v>
      </c>
      <c r="C46" s="108" t="s">
        <v>238</v>
      </c>
      <c r="D46" s="108" t="s">
        <v>107</v>
      </c>
      <c r="E46" s="108" t="s">
        <v>239</v>
      </c>
      <c r="F46" s="109" t="s">
        <v>108</v>
      </c>
    </row>
    <row r="47" spans="1:6" ht="48">
      <c r="A47" s="167" t="s">
        <v>24</v>
      </c>
      <c r="B47" s="171" t="s">
        <v>335</v>
      </c>
      <c r="C47" s="168" t="s">
        <v>250</v>
      </c>
      <c r="D47" s="169">
        <v>2000</v>
      </c>
      <c r="E47" s="169">
        <v>0.54</v>
      </c>
      <c r="F47" s="172">
        <f>E47*D47</f>
        <v>1080</v>
      </c>
    </row>
    <row r="48" spans="1:6" ht="36">
      <c r="A48" s="321"/>
      <c r="B48" s="322" t="s">
        <v>336</v>
      </c>
      <c r="C48" s="173"/>
      <c r="D48" s="173"/>
      <c r="E48" s="173"/>
      <c r="F48" s="172"/>
    </row>
    <row r="49" spans="1:7">
      <c r="A49" s="155"/>
      <c r="B49" s="290"/>
      <c r="C49" s="156"/>
      <c r="D49" s="70" t="s">
        <v>111</v>
      </c>
      <c r="E49" s="70"/>
      <c r="F49" s="75">
        <f>SUM(F47:F48)</f>
        <v>1080</v>
      </c>
    </row>
    <row r="50" spans="1:7">
      <c r="A50" s="155"/>
      <c r="B50" s="290"/>
      <c r="C50" s="156"/>
      <c r="D50" s="72" t="s">
        <v>266</v>
      </c>
      <c r="E50" s="72"/>
      <c r="F50" s="76">
        <f>F49+F44</f>
        <v>1080</v>
      </c>
    </row>
    <row r="51" spans="1:7">
      <c r="A51" s="155"/>
      <c r="B51" s="290"/>
      <c r="C51" s="156"/>
      <c r="D51" s="156" t="s">
        <v>243</v>
      </c>
      <c r="E51" s="163">
        <v>0</v>
      </c>
      <c r="F51" s="76">
        <f>F50*E51</f>
        <v>0</v>
      </c>
    </row>
    <row r="52" spans="1:7">
      <c r="A52" s="155"/>
      <c r="B52" s="290"/>
      <c r="C52" s="156"/>
      <c r="D52" s="73" t="s">
        <v>112</v>
      </c>
      <c r="E52" s="74"/>
      <c r="F52" s="77">
        <f>F51+F50</f>
        <v>1080</v>
      </c>
      <c r="G52" s="11">
        <f>F52</f>
        <v>1080</v>
      </c>
    </row>
    <row r="53" spans="1:7" ht="15.75" thickBot="1">
      <c r="A53" s="905"/>
      <c r="B53" s="905"/>
      <c r="C53" s="905"/>
      <c r="D53" s="905"/>
      <c r="E53" s="905"/>
      <c r="F53" s="905"/>
    </row>
    <row r="54" spans="1:7" ht="26.25" customHeight="1">
      <c r="A54" s="146" t="str">
        <f>'ANEXO V- Planilha Orçamentária'!B17</f>
        <v>MDF-Man-0004/17</v>
      </c>
      <c r="B54" s="166" t="s">
        <v>337</v>
      </c>
      <c r="C54" s="907" t="s">
        <v>641</v>
      </c>
      <c r="D54" s="908"/>
      <c r="E54" s="164" t="s">
        <v>229</v>
      </c>
      <c r="F54" s="165">
        <f>F70-(2*G70)</f>
        <v>-408.40000000000003</v>
      </c>
    </row>
    <row r="55" spans="1:7">
      <c r="A55" s="332" t="s">
        <v>254</v>
      </c>
      <c r="B55" s="333" t="s">
        <v>259</v>
      </c>
      <c r="C55" s="334"/>
      <c r="D55" s="335"/>
      <c r="E55" s="336" t="s">
        <v>228</v>
      </c>
      <c r="F55" s="337" t="s">
        <v>12</v>
      </c>
    </row>
    <row r="56" spans="1:7">
      <c r="A56" s="147" t="s">
        <v>240</v>
      </c>
      <c r="B56" s="148"/>
      <c r="C56" s="149"/>
      <c r="D56" s="150"/>
      <c r="E56" s="151"/>
      <c r="F56" s="152"/>
    </row>
    <row r="57" spans="1:7">
      <c r="A57" s="297" t="s">
        <v>237</v>
      </c>
      <c r="B57" s="153" t="s">
        <v>106</v>
      </c>
      <c r="C57" s="153" t="s">
        <v>238</v>
      </c>
      <c r="D57" s="153" t="s">
        <v>107</v>
      </c>
      <c r="E57" s="153" t="s">
        <v>239</v>
      </c>
      <c r="F57" s="154" t="s">
        <v>108</v>
      </c>
    </row>
    <row r="58" spans="1:7">
      <c r="A58" s="167"/>
      <c r="B58" s="320"/>
      <c r="C58" s="168"/>
      <c r="D58" s="168"/>
      <c r="E58" s="168"/>
      <c r="F58" s="170"/>
    </row>
    <row r="59" spans="1:7">
      <c r="A59" s="155"/>
      <c r="B59" s="290"/>
      <c r="C59" s="156"/>
      <c r="D59" s="70" t="s">
        <v>109</v>
      </c>
      <c r="E59" s="70"/>
      <c r="F59" s="75">
        <f>SUM(F58:F58)</f>
        <v>0</v>
      </c>
    </row>
    <row r="60" spans="1:7">
      <c r="A60" s="155"/>
      <c r="B60" s="290"/>
      <c r="C60" s="72" t="s">
        <v>242</v>
      </c>
      <c r="D60" s="72"/>
      <c r="E60" s="157">
        <v>0</v>
      </c>
      <c r="F60" s="76">
        <f>F59*E60</f>
        <v>0</v>
      </c>
    </row>
    <row r="61" spans="1:7">
      <c r="A61" s="155"/>
      <c r="B61" s="290"/>
      <c r="C61" s="71" t="s">
        <v>110</v>
      </c>
      <c r="D61" s="71"/>
      <c r="E61" s="71"/>
      <c r="F61" s="75">
        <f>F60+F59</f>
        <v>0</v>
      </c>
    </row>
    <row r="62" spans="1:7">
      <c r="A62" s="158" t="s">
        <v>241</v>
      </c>
      <c r="B62" s="159"/>
      <c r="C62" s="160"/>
      <c r="D62" s="160"/>
      <c r="E62" s="160"/>
      <c r="F62" s="161"/>
      <c r="G62" s="11"/>
    </row>
    <row r="63" spans="1:7">
      <c r="A63" s="162" t="s">
        <v>237</v>
      </c>
      <c r="B63" s="108" t="s">
        <v>106</v>
      </c>
      <c r="C63" s="108" t="s">
        <v>238</v>
      </c>
      <c r="D63" s="108" t="s">
        <v>107</v>
      </c>
      <c r="E63" s="108" t="s">
        <v>239</v>
      </c>
      <c r="F63" s="109" t="s">
        <v>108</v>
      </c>
    </row>
    <row r="64" spans="1:7" ht="48">
      <c r="A64" s="167" t="s">
        <v>25</v>
      </c>
      <c r="B64" s="171" t="s">
        <v>338</v>
      </c>
      <c r="C64" s="168" t="s">
        <v>1</v>
      </c>
      <c r="D64" s="169">
        <v>20</v>
      </c>
      <c r="E64" s="168">
        <v>10.210000000000001</v>
      </c>
      <c r="F64" s="172">
        <f>E64*D64</f>
        <v>204.20000000000002</v>
      </c>
    </row>
    <row r="65" spans="1:7" ht="36">
      <c r="A65" s="324" t="s">
        <v>245</v>
      </c>
      <c r="B65" s="325" t="s">
        <v>519</v>
      </c>
      <c r="C65" s="174" t="s">
        <v>233</v>
      </c>
      <c r="D65" s="175">
        <f>D64</f>
        <v>20</v>
      </c>
      <c r="E65" s="175">
        <f>E64</f>
        <v>10.210000000000001</v>
      </c>
      <c r="F65" s="172">
        <f>E65*D65</f>
        <v>204.20000000000002</v>
      </c>
    </row>
    <row r="66" spans="1:7" ht="36">
      <c r="A66" s="321"/>
      <c r="B66" s="322" t="s">
        <v>640</v>
      </c>
      <c r="C66" s="173"/>
      <c r="D66" s="173"/>
      <c r="E66" s="173"/>
      <c r="F66" s="172"/>
    </row>
    <row r="67" spans="1:7">
      <c r="A67" s="155"/>
      <c r="B67" s="290"/>
      <c r="C67" s="156"/>
      <c r="D67" s="70" t="s">
        <v>111</v>
      </c>
      <c r="E67" s="70"/>
      <c r="F67" s="75">
        <f>SUM(F64:F66)</f>
        <v>408.40000000000003</v>
      </c>
    </row>
    <row r="68" spans="1:7">
      <c r="A68" s="155"/>
      <c r="B68" s="290"/>
      <c r="C68" s="156"/>
      <c r="D68" s="72" t="s">
        <v>266</v>
      </c>
      <c r="E68" s="72"/>
      <c r="F68" s="76">
        <f>F67+F61</f>
        <v>408.40000000000003</v>
      </c>
    </row>
    <row r="69" spans="1:7">
      <c r="A69" s="155"/>
      <c r="B69" s="290"/>
      <c r="C69" s="156"/>
      <c r="D69" s="156" t="s">
        <v>243</v>
      </c>
      <c r="E69" s="163">
        <v>0</v>
      </c>
      <c r="F69" s="76">
        <f>F68*E69</f>
        <v>0</v>
      </c>
      <c r="G69" s="125"/>
    </row>
    <row r="70" spans="1:7">
      <c r="A70" s="264"/>
      <c r="B70" s="265"/>
      <c r="C70" s="266"/>
      <c r="D70" s="73" t="s">
        <v>112</v>
      </c>
      <c r="E70" s="74"/>
      <c r="F70" s="77">
        <f>F69+F68</f>
        <v>408.40000000000003</v>
      </c>
      <c r="G70" s="11">
        <f>F70</f>
        <v>408.40000000000003</v>
      </c>
    </row>
    <row r="71" spans="1:7" ht="15.75" thickBot="1">
      <c r="A71" s="905"/>
      <c r="B71" s="905"/>
      <c r="C71" s="905"/>
      <c r="D71" s="905"/>
      <c r="E71" s="905"/>
      <c r="F71" s="905"/>
    </row>
    <row r="72" spans="1:7" ht="25.5" customHeight="1">
      <c r="A72" s="146" t="str">
        <f>'ANEXO V- Planilha Orçamentária'!B18</f>
        <v>MDF-Man-0005/17</v>
      </c>
      <c r="B72" s="166" t="s">
        <v>339</v>
      </c>
      <c r="C72" s="318" t="s">
        <v>641</v>
      </c>
      <c r="D72" s="319"/>
      <c r="E72" s="164" t="s">
        <v>229</v>
      </c>
      <c r="F72" s="165">
        <f>F87</f>
        <v>943.8</v>
      </c>
    </row>
    <row r="73" spans="1:7">
      <c r="A73" s="332" t="s">
        <v>254</v>
      </c>
      <c r="B73" s="506" t="s">
        <v>258</v>
      </c>
      <c r="C73" s="334"/>
      <c r="D73" s="335"/>
      <c r="E73" s="336" t="s">
        <v>228</v>
      </c>
      <c r="F73" s="337" t="s">
        <v>12</v>
      </c>
      <c r="G73" s="53"/>
    </row>
    <row r="74" spans="1:7">
      <c r="A74" s="147" t="s">
        <v>240</v>
      </c>
      <c r="B74" s="148"/>
      <c r="C74" s="149"/>
      <c r="D74" s="150"/>
      <c r="E74" s="151"/>
      <c r="F74" s="152"/>
    </row>
    <row r="75" spans="1:7">
      <c r="A75" s="297" t="s">
        <v>237</v>
      </c>
      <c r="B75" s="153" t="s">
        <v>106</v>
      </c>
      <c r="C75" s="153" t="s">
        <v>238</v>
      </c>
      <c r="D75" s="153" t="s">
        <v>107</v>
      </c>
      <c r="E75" s="153" t="s">
        <v>239</v>
      </c>
      <c r="F75" s="154" t="s">
        <v>108</v>
      </c>
    </row>
    <row r="76" spans="1:7">
      <c r="A76" s="167"/>
      <c r="B76" s="320"/>
      <c r="C76" s="168"/>
      <c r="D76" s="168"/>
      <c r="E76" s="168"/>
      <c r="F76" s="170"/>
    </row>
    <row r="77" spans="1:7">
      <c r="A77" s="155"/>
      <c r="B77" s="290"/>
      <c r="C77" s="156"/>
      <c r="D77" s="70" t="s">
        <v>109</v>
      </c>
      <c r="E77" s="70"/>
      <c r="F77" s="75">
        <f>SUM(F76:F76)</f>
        <v>0</v>
      </c>
    </row>
    <row r="78" spans="1:7">
      <c r="A78" s="155"/>
      <c r="B78" s="290"/>
      <c r="C78" s="72" t="s">
        <v>242</v>
      </c>
      <c r="D78" s="72"/>
      <c r="E78" s="157">
        <v>0</v>
      </c>
      <c r="F78" s="76">
        <f>F77*E78</f>
        <v>0</v>
      </c>
    </row>
    <row r="79" spans="1:7">
      <c r="A79" s="155"/>
      <c r="B79" s="290"/>
      <c r="C79" s="71" t="s">
        <v>110</v>
      </c>
      <c r="D79" s="71"/>
      <c r="E79" s="71"/>
      <c r="F79" s="75">
        <f>F78+F77</f>
        <v>0</v>
      </c>
    </row>
    <row r="80" spans="1:7">
      <c r="A80" s="158" t="s">
        <v>241</v>
      </c>
      <c r="B80" s="159"/>
      <c r="C80" s="160"/>
      <c r="D80" s="160"/>
      <c r="E80" s="160"/>
      <c r="F80" s="161"/>
    </row>
    <row r="81" spans="1:6">
      <c r="A81" s="162" t="s">
        <v>237</v>
      </c>
      <c r="B81" s="108" t="s">
        <v>106</v>
      </c>
      <c r="C81" s="108" t="s">
        <v>238</v>
      </c>
      <c r="D81" s="108" t="s">
        <v>107</v>
      </c>
      <c r="E81" s="108" t="s">
        <v>239</v>
      </c>
      <c r="F81" s="109" t="s">
        <v>108</v>
      </c>
    </row>
    <row r="82" spans="1:6" ht="36">
      <c r="A82" s="326" t="s">
        <v>249</v>
      </c>
      <c r="B82" s="171" t="s">
        <v>340</v>
      </c>
      <c r="C82" s="168" t="s">
        <v>12</v>
      </c>
      <c r="D82" s="169">
        <v>3</v>
      </c>
      <c r="E82" s="169">
        <v>250</v>
      </c>
      <c r="F82" s="172">
        <f>E82*D82</f>
        <v>750</v>
      </c>
    </row>
    <row r="83" spans="1:6">
      <c r="A83" s="321"/>
      <c r="B83" s="322"/>
      <c r="C83" s="173"/>
      <c r="D83" s="173"/>
      <c r="E83" s="173"/>
      <c r="F83" s="172"/>
    </row>
    <row r="84" spans="1:6">
      <c r="A84" s="155"/>
      <c r="B84" s="290"/>
      <c r="C84" s="156"/>
      <c r="D84" s="70" t="s">
        <v>111</v>
      </c>
      <c r="E84" s="70"/>
      <c r="F84" s="75">
        <f>SUM(F82:F83)</f>
        <v>750</v>
      </c>
    </row>
    <row r="85" spans="1:6">
      <c r="A85" s="155"/>
      <c r="B85" s="290"/>
      <c r="C85" s="156"/>
      <c r="D85" s="72" t="s">
        <v>266</v>
      </c>
      <c r="E85" s="72"/>
      <c r="F85" s="76">
        <f>F84+F79</f>
        <v>750</v>
      </c>
    </row>
    <row r="86" spans="1:6">
      <c r="A86" s="155"/>
      <c r="B86" s="290"/>
      <c r="C86" s="156"/>
      <c r="D86" s="156" t="s">
        <v>243</v>
      </c>
      <c r="E86" s="163">
        <v>0.25840000000000002</v>
      </c>
      <c r="F86" s="76">
        <f>F85*E86</f>
        <v>193.8</v>
      </c>
    </row>
    <row r="87" spans="1:6">
      <c r="A87" s="155"/>
      <c r="B87" s="290"/>
      <c r="C87" s="156"/>
      <c r="D87" s="73" t="s">
        <v>112</v>
      </c>
      <c r="E87" s="74"/>
      <c r="F87" s="77">
        <f>F86+F85</f>
        <v>943.8</v>
      </c>
    </row>
    <row r="88" spans="1:6" s="316" customFormat="1" ht="15.75" thickBot="1">
      <c r="A88" s="490"/>
      <c r="B88" s="490"/>
      <c r="C88" s="351"/>
      <c r="D88" s="507"/>
      <c r="E88" s="507"/>
      <c r="F88" s="508"/>
    </row>
    <row r="89" spans="1:6" ht="26.25" customHeight="1">
      <c r="A89" s="146" t="str">
        <f>'ANEXO V- Planilha Orçamentária'!B20</f>
        <v>MDF-Man-0006/17</v>
      </c>
      <c r="B89" s="166" t="s">
        <v>246</v>
      </c>
      <c r="C89" s="318" t="s">
        <v>641</v>
      </c>
      <c r="D89" s="327"/>
      <c r="E89" s="164" t="s">
        <v>229</v>
      </c>
      <c r="F89" s="165">
        <f>F103</f>
        <v>4360.3559999999998</v>
      </c>
    </row>
    <row r="90" spans="1:6">
      <c r="A90" s="332" t="s">
        <v>254</v>
      </c>
      <c r="B90" s="333" t="s">
        <v>257</v>
      </c>
      <c r="C90" s="334"/>
      <c r="D90" s="335"/>
      <c r="E90" s="336" t="s">
        <v>228</v>
      </c>
      <c r="F90" s="337" t="s">
        <v>12</v>
      </c>
    </row>
    <row r="91" spans="1:6">
      <c r="A91" s="147" t="s">
        <v>240</v>
      </c>
      <c r="B91" s="148"/>
      <c r="C91" s="149"/>
      <c r="D91" s="150"/>
      <c r="E91" s="151"/>
      <c r="F91" s="152"/>
    </row>
    <row r="92" spans="1:6">
      <c r="A92" s="297" t="s">
        <v>237</v>
      </c>
      <c r="B92" s="153" t="s">
        <v>106</v>
      </c>
      <c r="C92" s="153" t="s">
        <v>238</v>
      </c>
      <c r="D92" s="153" t="s">
        <v>107</v>
      </c>
      <c r="E92" s="153" t="s">
        <v>239</v>
      </c>
      <c r="F92" s="154" t="s">
        <v>108</v>
      </c>
    </row>
    <row r="93" spans="1:6">
      <c r="A93" s="167"/>
      <c r="B93" s="171"/>
      <c r="C93" s="168"/>
      <c r="D93" s="168"/>
      <c r="E93" s="168"/>
      <c r="F93" s="170"/>
    </row>
    <row r="94" spans="1:6">
      <c r="A94" s="155"/>
      <c r="B94" s="290"/>
      <c r="C94" s="156"/>
      <c r="D94" s="70" t="s">
        <v>109</v>
      </c>
      <c r="E94" s="70"/>
      <c r="F94" s="75">
        <f>SUM(F93:F93)</f>
        <v>0</v>
      </c>
    </row>
    <row r="95" spans="1:6">
      <c r="A95" s="155"/>
      <c r="B95" s="290"/>
      <c r="C95" s="72" t="s">
        <v>242</v>
      </c>
      <c r="D95" s="72"/>
      <c r="E95" s="157">
        <v>0</v>
      </c>
      <c r="F95" s="76">
        <f>F94*E95</f>
        <v>0</v>
      </c>
    </row>
    <row r="96" spans="1:6">
      <c r="A96" s="155"/>
      <c r="B96" s="290"/>
      <c r="C96" s="71" t="s">
        <v>110</v>
      </c>
      <c r="D96" s="71"/>
      <c r="E96" s="71"/>
      <c r="F96" s="75">
        <f>F95+F94</f>
        <v>0</v>
      </c>
    </row>
    <row r="97" spans="1:6">
      <c r="A97" s="158" t="s">
        <v>247</v>
      </c>
      <c r="B97" s="159"/>
      <c r="C97" s="160"/>
      <c r="D97" s="160"/>
      <c r="E97" s="160"/>
      <c r="F97" s="161"/>
    </row>
    <row r="98" spans="1:6">
      <c r="A98" s="162" t="s">
        <v>237</v>
      </c>
      <c r="B98" s="108" t="s">
        <v>106</v>
      </c>
      <c r="C98" s="108" t="s">
        <v>238</v>
      </c>
      <c r="D98" s="108" t="s">
        <v>107</v>
      </c>
      <c r="E98" s="108" t="s">
        <v>239</v>
      </c>
      <c r="F98" s="109" t="s">
        <v>108</v>
      </c>
    </row>
    <row r="99" spans="1:6" ht="36">
      <c r="A99" s="326" t="s">
        <v>252</v>
      </c>
      <c r="B99" s="171" t="s">
        <v>341</v>
      </c>
      <c r="C99" s="168" t="s">
        <v>12</v>
      </c>
      <c r="D99" s="169">
        <v>220</v>
      </c>
      <c r="E99" s="168">
        <v>15.75</v>
      </c>
      <c r="F99" s="172">
        <f>E99*D99</f>
        <v>3465</v>
      </c>
    </row>
    <row r="100" spans="1:6">
      <c r="A100" s="155"/>
      <c r="B100" s="290"/>
      <c r="C100" s="156"/>
      <c r="D100" s="70" t="s">
        <v>248</v>
      </c>
      <c r="E100" s="70"/>
      <c r="F100" s="75">
        <f>SUM(F99:F99)</f>
        <v>3465</v>
      </c>
    </row>
    <row r="101" spans="1:6">
      <c r="A101" s="155"/>
      <c r="B101" s="290"/>
      <c r="C101" s="156"/>
      <c r="D101" s="72" t="s">
        <v>266</v>
      </c>
      <c r="E101" s="72"/>
      <c r="F101" s="76">
        <f>F100+F96</f>
        <v>3465</v>
      </c>
    </row>
    <row r="102" spans="1:6">
      <c r="A102" s="155"/>
      <c r="B102" s="290"/>
      <c r="C102" s="156"/>
      <c r="D102" s="156" t="s">
        <v>243</v>
      </c>
      <c r="E102" s="163">
        <v>0.25840000000000002</v>
      </c>
      <c r="F102" s="76">
        <f>F101*E102</f>
        <v>895.35600000000011</v>
      </c>
    </row>
    <row r="103" spans="1:6">
      <c r="A103" s="155"/>
      <c r="B103" s="290"/>
      <c r="C103" s="156"/>
      <c r="D103" s="73" t="s">
        <v>112</v>
      </c>
      <c r="E103" s="74"/>
      <c r="F103" s="77">
        <f>F102+F101</f>
        <v>4360.3559999999998</v>
      </c>
    </row>
    <row r="104" spans="1:6" s="316" customFormat="1" ht="15.75" thickBot="1">
      <c r="A104" s="902"/>
      <c r="B104" s="903"/>
      <c r="C104" s="903"/>
      <c r="D104" s="903"/>
      <c r="E104" s="903"/>
      <c r="F104" s="904"/>
    </row>
    <row r="105" spans="1:6" ht="25.5" customHeight="1">
      <c r="A105" s="146" t="str">
        <f>'ANEXO V- Planilha Orçamentária'!B21</f>
        <v>MDF-Man-0007/17</v>
      </c>
      <c r="B105" s="166" t="s">
        <v>234</v>
      </c>
      <c r="C105" s="899" t="s">
        <v>641</v>
      </c>
      <c r="D105" s="900"/>
      <c r="E105" s="164" t="s">
        <v>229</v>
      </c>
      <c r="F105" s="165">
        <f>F119</f>
        <v>1815.3175040000003</v>
      </c>
    </row>
    <row r="106" spans="1:6">
      <c r="A106" s="332" t="s">
        <v>254</v>
      </c>
      <c r="B106" s="333" t="s">
        <v>256</v>
      </c>
      <c r="C106" s="334"/>
      <c r="D106" s="335"/>
      <c r="E106" s="336" t="s">
        <v>228</v>
      </c>
      <c r="F106" s="337" t="s">
        <v>12</v>
      </c>
    </row>
    <row r="107" spans="1:6">
      <c r="A107" s="147" t="s">
        <v>240</v>
      </c>
      <c r="B107" s="148"/>
      <c r="C107" s="149"/>
      <c r="D107" s="150"/>
      <c r="E107" s="151"/>
      <c r="F107" s="152"/>
    </row>
    <row r="108" spans="1:6">
      <c r="A108" s="297" t="s">
        <v>237</v>
      </c>
      <c r="B108" s="153" t="s">
        <v>106</v>
      </c>
      <c r="C108" s="153" t="s">
        <v>238</v>
      </c>
      <c r="D108" s="153" t="s">
        <v>107</v>
      </c>
      <c r="E108" s="153" t="s">
        <v>239</v>
      </c>
      <c r="F108" s="154" t="s">
        <v>108</v>
      </c>
    </row>
    <row r="109" spans="1:6">
      <c r="A109" s="167"/>
      <c r="B109" s="171"/>
      <c r="C109" s="168"/>
      <c r="D109" s="168"/>
      <c r="E109" s="168"/>
      <c r="F109" s="170"/>
    </row>
    <row r="110" spans="1:6">
      <c r="A110" s="155"/>
      <c r="B110" s="290"/>
      <c r="C110" s="156"/>
      <c r="D110" s="70" t="s">
        <v>109</v>
      </c>
      <c r="E110" s="70"/>
      <c r="F110" s="75">
        <f>SUM(F109:F109)</f>
        <v>0</v>
      </c>
    </row>
    <row r="111" spans="1:6">
      <c r="A111" s="155"/>
      <c r="B111" s="290"/>
      <c r="C111" s="72" t="s">
        <v>242</v>
      </c>
      <c r="D111" s="72"/>
      <c r="E111" s="157">
        <v>0</v>
      </c>
      <c r="F111" s="76">
        <f>F110*E111</f>
        <v>0</v>
      </c>
    </row>
    <row r="112" spans="1:6">
      <c r="A112" s="155"/>
      <c r="B112" s="290"/>
      <c r="C112" s="71" t="s">
        <v>110</v>
      </c>
      <c r="D112" s="71"/>
      <c r="E112" s="71"/>
      <c r="F112" s="75">
        <f>F111+F110</f>
        <v>0</v>
      </c>
    </row>
    <row r="113" spans="1:6">
      <c r="A113" s="158" t="s">
        <v>241</v>
      </c>
      <c r="B113" s="159"/>
      <c r="C113" s="160"/>
      <c r="D113" s="160"/>
      <c r="E113" s="160"/>
      <c r="F113" s="161"/>
    </row>
    <row r="114" spans="1:6">
      <c r="A114" s="162" t="s">
        <v>237</v>
      </c>
      <c r="B114" s="108" t="s">
        <v>106</v>
      </c>
      <c r="C114" s="108" t="s">
        <v>238</v>
      </c>
      <c r="D114" s="108" t="s">
        <v>107</v>
      </c>
      <c r="E114" s="108" t="s">
        <v>239</v>
      </c>
      <c r="F114" s="109" t="s">
        <v>108</v>
      </c>
    </row>
    <row r="115" spans="1:6" ht="36">
      <c r="A115" s="167" t="s">
        <v>253</v>
      </c>
      <c r="B115" s="171" t="s">
        <v>342</v>
      </c>
      <c r="C115" s="168" t="s">
        <v>12</v>
      </c>
      <c r="D115" s="169">
        <v>392</v>
      </c>
      <c r="E115" s="168">
        <v>3.68</v>
      </c>
      <c r="F115" s="172">
        <f>E115*D115</f>
        <v>1442.5600000000002</v>
      </c>
    </row>
    <row r="116" spans="1:6">
      <c r="A116" s="155"/>
      <c r="B116" s="290"/>
      <c r="C116" s="156"/>
      <c r="D116" s="70" t="s">
        <v>111</v>
      </c>
      <c r="E116" s="70"/>
      <c r="F116" s="75">
        <f>SUM(F115:F115)</f>
        <v>1442.5600000000002</v>
      </c>
    </row>
    <row r="117" spans="1:6">
      <c r="A117" s="155"/>
      <c r="B117" s="290"/>
      <c r="C117" s="156"/>
      <c r="D117" s="72" t="s">
        <v>266</v>
      </c>
      <c r="E117" s="72"/>
      <c r="F117" s="76">
        <f>F116+F112</f>
        <v>1442.5600000000002</v>
      </c>
    </row>
    <row r="118" spans="1:6">
      <c r="A118" s="155"/>
      <c r="B118" s="290"/>
      <c r="C118" s="156"/>
      <c r="D118" s="156" t="s">
        <v>243</v>
      </c>
      <c r="E118" s="163">
        <v>0.25840000000000002</v>
      </c>
      <c r="F118" s="76">
        <f>F117*E118</f>
        <v>372.7575040000001</v>
      </c>
    </row>
    <row r="119" spans="1:6">
      <c r="A119" s="155"/>
      <c r="B119" s="290"/>
      <c r="C119" s="156"/>
      <c r="D119" s="73" t="s">
        <v>112</v>
      </c>
      <c r="E119" s="74"/>
      <c r="F119" s="77">
        <f>F118+F117</f>
        <v>1815.3175040000003</v>
      </c>
    </row>
    <row r="120" spans="1:6" ht="15.75" thickBot="1">
      <c r="A120" s="901"/>
      <c r="B120" s="901"/>
      <c r="C120" s="901"/>
      <c r="D120" s="901"/>
      <c r="E120" s="901"/>
      <c r="F120" s="901"/>
    </row>
    <row r="121" spans="1:6" ht="25.5" customHeight="1">
      <c r="A121" s="146" t="str">
        <f>'ANEXO V- Planilha Orçamentária'!B25</f>
        <v>MDF-Man-0008/17</v>
      </c>
      <c r="B121" s="166" t="s">
        <v>619</v>
      </c>
      <c r="C121" s="318" t="s">
        <v>641</v>
      </c>
      <c r="D121" s="319"/>
      <c r="E121" s="164" t="s">
        <v>229</v>
      </c>
      <c r="F121" s="165">
        <f>F129</f>
        <v>2584.7141832699781</v>
      </c>
    </row>
    <row r="122" spans="1:6">
      <c r="A122" s="332" t="s">
        <v>254</v>
      </c>
      <c r="B122" s="506" t="s">
        <v>579</v>
      </c>
      <c r="C122" s="334"/>
      <c r="D122" s="335"/>
      <c r="E122" s="336" t="s">
        <v>228</v>
      </c>
      <c r="F122" s="337" t="s">
        <v>12</v>
      </c>
    </row>
    <row r="123" spans="1:6">
      <c r="A123" s="147" t="s">
        <v>240</v>
      </c>
      <c r="B123" s="148"/>
      <c r="C123" s="149"/>
      <c r="D123" s="150"/>
      <c r="E123" s="151"/>
      <c r="F123" s="152"/>
    </row>
    <row r="124" spans="1:6">
      <c r="A124" s="297" t="s">
        <v>237</v>
      </c>
      <c r="B124" s="153" t="s">
        <v>106</v>
      </c>
      <c r="C124" s="153" t="s">
        <v>238</v>
      </c>
      <c r="D124" s="153" t="s">
        <v>107</v>
      </c>
      <c r="E124" s="153" t="s">
        <v>239</v>
      </c>
      <c r="F124" s="154" t="s">
        <v>108</v>
      </c>
    </row>
    <row r="125" spans="1:6" ht="108">
      <c r="A125" s="326" t="s">
        <v>251</v>
      </c>
      <c r="B125" s="171" t="s">
        <v>843</v>
      </c>
      <c r="C125" s="168" t="s">
        <v>564</v>
      </c>
      <c r="D125" s="169">
        <v>20</v>
      </c>
      <c r="E125" s="169">
        <f>'VIII - ENC.POR CARGO. FUNÇÃO'!R5</f>
        <v>95.198433855291583</v>
      </c>
      <c r="F125" s="172">
        <f>E125*D125</f>
        <v>1903.9686771058316</v>
      </c>
    </row>
    <row r="126" spans="1:6" s="316" customFormat="1" ht="24">
      <c r="A126" s="561"/>
      <c r="B126" s="329" t="s">
        <v>580</v>
      </c>
      <c r="C126" s="330" t="s">
        <v>564</v>
      </c>
      <c r="D126" s="177">
        <v>220</v>
      </c>
      <c r="E126" s="177">
        <f>150/220</f>
        <v>0.68181818181818177</v>
      </c>
      <c r="F126" s="172">
        <f>E126*D126</f>
        <v>150</v>
      </c>
    </row>
    <row r="127" spans="1:6">
      <c r="A127" s="155"/>
      <c r="B127" s="290"/>
      <c r="C127" s="156"/>
      <c r="D127" s="70" t="s">
        <v>111</v>
      </c>
      <c r="E127" s="70"/>
      <c r="F127" s="75">
        <f>SUM(F125:F126)</f>
        <v>2053.9686771058314</v>
      </c>
    </row>
    <row r="128" spans="1:6">
      <c r="A128" s="155"/>
      <c r="B128" s="290"/>
      <c r="C128" s="156"/>
      <c r="D128" s="156" t="s">
        <v>243</v>
      </c>
      <c r="E128" s="163">
        <v>0.25840000000000002</v>
      </c>
      <c r="F128" s="76">
        <f>F127*E128</f>
        <v>530.74550616414683</v>
      </c>
    </row>
    <row r="129" spans="1:7">
      <c r="A129" s="155"/>
      <c r="B129" s="290"/>
      <c r="C129" s="156"/>
      <c r="D129" s="307" t="s">
        <v>112</v>
      </c>
      <c r="E129" s="308"/>
      <c r="F129" s="77">
        <f>F128+F127</f>
        <v>2584.7141832699781</v>
      </c>
    </row>
    <row r="130" spans="1:7" ht="15.75" thickBot="1">
      <c r="A130" s="905"/>
      <c r="B130" s="905"/>
      <c r="C130" s="905"/>
      <c r="D130" s="905"/>
      <c r="E130" s="905"/>
      <c r="F130" s="905"/>
    </row>
    <row r="131" spans="1:7" ht="25.5" customHeight="1">
      <c r="A131" s="146" t="str">
        <f>'ANEXO V- Planilha Orçamentária'!B27</f>
        <v>MDF-Man-0009/17</v>
      </c>
      <c r="B131" s="166" t="s">
        <v>584</v>
      </c>
      <c r="C131" s="899" t="s">
        <v>641</v>
      </c>
      <c r="D131" s="900"/>
      <c r="E131" s="164" t="s">
        <v>229</v>
      </c>
      <c r="F131" s="165">
        <f>F139</f>
        <v>2597.0566357736002</v>
      </c>
    </row>
    <row r="132" spans="1:7">
      <c r="A132" s="332" t="s">
        <v>254</v>
      </c>
      <c r="B132" s="333" t="s">
        <v>635</v>
      </c>
      <c r="C132" s="334"/>
      <c r="D132" s="335"/>
      <c r="E132" s="336" t="s">
        <v>228</v>
      </c>
      <c r="F132" s="337" t="s">
        <v>12</v>
      </c>
    </row>
    <row r="133" spans="1:7">
      <c r="A133" s="147" t="s">
        <v>240</v>
      </c>
      <c r="B133" s="148"/>
      <c r="C133" s="149"/>
      <c r="D133" s="150"/>
      <c r="E133" s="151"/>
      <c r="F133" s="152"/>
    </row>
    <row r="134" spans="1:7">
      <c r="A134" s="297" t="s">
        <v>237</v>
      </c>
      <c r="B134" s="153" t="s">
        <v>106</v>
      </c>
      <c r="C134" s="153" t="s">
        <v>238</v>
      </c>
      <c r="D134" s="153" t="s">
        <v>107</v>
      </c>
      <c r="E134" s="153" t="s">
        <v>239</v>
      </c>
      <c r="F134" s="154" t="s">
        <v>108</v>
      </c>
    </row>
    <row r="135" spans="1:7" ht="60">
      <c r="A135" s="562" t="s">
        <v>588</v>
      </c>
      <c r="B135" s="764" t="s">
        <v>842</v>
      </c>
      <c r="C135" s="563" t="s">
        <v>564</v>
      </c>
      <c r="D135" s="564">
        <v>220</v>
      </c>
      <c r="E135" s="564">
        <f>'VIII - ENC.POR CARGO. FUNÇÃO'!R6</f>
        <v>8.6989851318181817</v>
      </c>
      <c r="F135" s="565">
        <f>E135*D135</f>
        <v>1913.7767289999999</v>
      </c>
    </row>
    <row r="136" spans="1:7" s="316" customFormat="1" ht="24">
      <c r="A136" s="561"/>
      <c r="B136" s="329" t="s">
        <v>580</v>
      </c>
      <c r="C136" s="330" t="s">
        <v>564</v>
      </c>
      <c r="D136" s="177">
        <v>220</v>
      </c>
      <c r="E136" s="177">
        <f>150/220</f>
        <v>0.68181818181818177</v>
      </c>
      <c r="F136" s="585">
        <f>E136*D136</f>
        <v>150</v>
      </c>
    </row>
    <row r="137" spans="1:7">
      <c r="A137" s="155"/>
      <c r="B137" s="290"/>
      <c r="C137" s="156"/>
      <c r="D137" s="70" t="s">
        <v>109</v>
      </c>
      <c r="E137" s="70"/>
      <c r="F137" s="75">
        <f>SUM(F135:F136)</f>
        <v>2063.7767290000002</v>
      </c>
    </row>
    <row r="138" spans="1:7">
      <c r="A138" s="155"/>
      <c r="B138" s="290"/>
      <c r="C138" s="156"/>
      <c r="D138" s="156" t="s">
        <v>243</v>
      </c>
      <c r="E138" s="163">
        <v>0.25840000000000002</v>
      </c>
      <c r="F138" s="76">
        <f>F137*E138</f>
        <v>533.27990677360003</v>
      </c>
    </row>
    <row r="139" spans="1:7">
      <c r="A139" s="155"/>
      <c r="B139" s="290"/>
      <c r="C139" s="156"/>
      <c r="D139" s="73" t="s">
        <v>112</v>
      </c>
      <c r="E139" s="74"/>
      <c r="F139" s="77">
        <f>SUM(F137:F138)</f>
        <v>2597.0566357736002</v>
      </c>
    </row>
    <row r="140" spans="1:7" s="316" customFormat="1" ht="15.75" thickBot="1">
      <c r="A140" s="349"/>
      <c r="B140" s="350"/>
      <c r="C140" s="351"/>
      <c r="D140" s="352"/>
      <c r="E140" s="353"/>
      <c r="F140" s="354"/>
    </row>
    <row r="141" spans="1:7" ht="25.5" customHeight="1">
      <c r="A141" s="146" t="str">
        <f>'ANEXO V- Planilha Orçamentária'!B28</f>
        <v>MDF-Man-0010/17</v>
      </c>
      <c r="B141" s="166" t="s">
        <v>582</v>
      </c>
      <c r="C141" s="318" t="s">
        <v>641</v>
      </c>
      <c r="D141" s="176"/>
      <c r="E141" s="164" t="s">
        <v>229</v>
      </c>
      <c r="F141" s="165">
        <f>F150</f>
        <v>3940.5656392416408</v>
      </c>
    </row>
    <row r="142" spans="1:7">
      <c r="A142" s="332" t="s">
        <v>254</v>
      </c>
      <c r="B142" s="506" t="s">
        <v>255</v>
      </c>
      <c r="C142" s="334"/>
      <c r="D142" s="335"/>
      <c r="E142" s="336" t="s">
        <v>228</v>
      </c>
      <c r="F142" s="337" t="s">
        <v>12</v>
      </c>
      <c r="G142" s="53"/>
    </row>
    <row r="143" spans="1:7">
      <c r="A143" s="147" t="s">
        <v>240</v>
      </c>
      <c r="B143" s="148"/>
      <c r="C143" s="149"/>
      <c r="D143" s="150"/>
      <c r="E143" s="151"/>
      <c r="F143" s="152"/>
    </row>
    <row r="144" spans="1:7">
      <c r="A144" s="297" t="s">
        <v>237</v>
      </c>
      <c r="B144" s="153" t="s">
        <v>106</v>
      </c>
      <c r="C144" s="153" t="s">
        <v>238</v>
      </c>
      <c r="D144" s="153" t="s">
        <v>107</v>
      </c>
      <c r="E144" s="153" t="s">
        <v>239</v>
      </c>
      <c r="F144" s="154" t="s">
        <v>108</v>
      </c>
    </row>
    <row r="145" spans="1:6" ht="94.5" customHeight="1">
      <c r="A145" s="326" t="s">
        <v>589</v>
      </c>
      <c r="B145" s="171" t="s">
        <v>844</v>
      </c>
      <c r="C145" s="168" t="s">
        <v>564</v>
      </c>
      <c r="D145" s="169">
        <v>220</v>
      </c>
      <c r="E145" s="169">
        <f>'VIII - ENC.POR CARGO. FUNÇÃO'!R7</f>
        <v>13.551861090712741</v>
      </c>
      <c r="F145" s="172">
        <f>D145*E145</f>
        <v>2981.409439956803</v>
      </c>
    </row>
    <row r="146" spans="1:6" s="316" customFormat="1" ht="24">
      <c r="A146" s="552"/>
      <c r="B146" s="553" t="s">
        <v>587</v>
      </c>
      <c r="C146" s="554" t="s">
        <v>564</v>
      </c>
      <c r="D146" s="555">
        <v>220</v>
      </c>
      <c r="E146" s="555">
        <f>150/220</f>
        <v>0.68181818181818177</v>
      </c>
      <c r="F146" s="172">
        <f>D146*E146</f>
        <v>150</v>
      </c>
    </row>
    <row r="147" spans="1:6" ht="42" customHeight="1">
      <c r="A147" s="328"/>
      <c r="B147" s="329" t="s">
        <v>590</v>
      </c>
      <c r="C147" s="330"/>
      <c r="D147" s="330"/>
      <c r="E147" s="330"/>
      <c r="F147" s="331"/>
    </row>
    <row r="148" spans="1:6">
      <c r="A148" s="155"/>
      <c r="B148" s="290"/>
      <c r="C148" s="156"/>
      <c r="D148" s="70" t="s">
        <v>109</v>
      </c>
      <c r="E148" s="70"/>
      <c r="F148" s="75">
        <f>SUM(F145:F147)</f>
        <v>3131.409439956803</v>
      </c>
    </row>
    <row r="149" spans="1:6">
      <c r="A149" s="155"/>
      <c r="B149" s="290"/>
      <c r="C149" s="156"/>
      <c r="D149" s="156" t="s">
        <v>243</v>
      </c>
      <c r="E149" s="163">
        <v>0.25840000000000002</v>
      </c>
      <c r="F149" s="76">
        <f>F148*E149</f>
        <v>809.15619928483795</v>
      </c>
    </row>
    <row r="150" spans="1:6">
      <c r="A150" s="155"/>
      <c r="B150" s="290"/>
      <c r="C150" s="156"/>
      <c r="D150" s="73" t="s">
        <v>112</v>
      </c>
      <c r="E150" s="74"/>
      <c r="F150" s="77">
        <f>SUM(F148:F149)</f>
        <v>3940.5656392416408</v>
      </c>
    </row>
    <row r="151" spans="1:6" s="316" customFormat="1" ht="15.75" thickBot="1">
      <c r="A151" s="901"/>
      <c r="B151" s="901"/>
      <c r="C151" s="901"/>
      <c r="D151" s="901"/>
      <c r="E151" s="901"/>
      <c r="F151" s="901"/>
    </row>
    <row r="152" spans="1:6" s="316" customFormat="1">
      <c r="A152" s="146" t="str">
        <f>'ANEXO V- Planilha Orçamentária'!B29</f>
        <v>MDF-Man-0011/17</v>
      </c>
      <c r="B152" s="166" t="s">
        <v>593</v>
      </c>
      <c r="C152" s="318" t="s">
        <v>641</v>
      </c>
      <c r="D152" s="176"/>
      <c r="E152" s="164" t="s">
        <v>229</v>
      </c>
      <c r="F152" s="165">
        <f>F161</f>
        <v>3844.0337165344276</v>
      </c>
    </row>
    <row r="153" spans="1:6" s="316" customFormat="1">
      <c r="A153" s="332" t="s">
        <v>254</v>
      </c>
      <c r="B153" s="506" t="s">
        <v>845</v>
      </c>
      <c r="C153" s="334"/>
      <c r="D153" s="335"/>
      <c r="E153" s="336" t="s">
        <v>228</v>
      </c>
      <c r="F153" s="337" t="s">
        <v>12</v>
      </c>
    </row>
    <row r="154" spans="1:6" s="316" customFormat="1">
      <c r="A154" s="147" t="s">
        <v>240</v>
      </c>
      <c r="B154" s="148"/>
      <c r="C154" s="149"/>
      <c r="D154" s="150"/>
      <c r="E154" s="151"/>
      <c r="F154" s="152"/>
    </row>
    <row r="155" spans="1:6" s="316" customFormat="1">
      <c r="A155" s="297" t="s">
        <v>237</v>
      </c>
      <c r="B155" s="153" t="s">
        <v>106</v>
      </c>
      <c r="C155" s="153" t="s">
        <v>238</v>
      </c>
      <c r="D155" s="153" t="s">
        <v>107</v>
      </c>
      <c r="E155" s="153" t="s">
        <v>239</v>
      </c>
      <c r="F155" s="154" t="s">
        <v>108</v>
      </c>
    </row>
    <row r="156" spans="1:6" s="316" customFormat="1" ht="72">
      <c r="A156" s="326" t="s">
        <v>592</v>
      </c>
      <c r="B156" s="171" t="s">
        <v>846</v>
      </c>
      <c r="C156" s="168" t="s">
        <v>564</v>
      </c>
      <c r="D156" s="169">
        <v>220</v>
      </c>
      <c r="E156" s="169">
        <f>'VIII - ENC.POR CARGO. FUNÇÃO'!R8</f>
        <v>13.203179060475161</v>
      </c>
      <c r="F156" s="172">
        <f>D156*E156</f>
        <v>2904.6993933045355</v>
      </c>
    </row>
    <row r="157" spans="1:6" s="316" customFormat="1" ht="24">
      <c r="A157" s="552"/>
      <c r="B157" s="553" t="s">
        <v>587</v>
      </c>
      <c r="C157" s="554" t="s">
        <v>564</v>
      </c>
      <c r="D157" s="555">
        <v>220</v>
      </c>
      <c r="E157" s="555">
        <f>150/220</f>
        <v>0.68181818181818177</v>
      </c>
      <c r="F157" s="170">
        <f>D157*E157</f>
        <v>150</v>
      </c>
    </row>
    <row r="158" spans="1:6" s="316" customFormat="1" ht="36">
      <c r="A158" s="328"/>
      <c r="B158" s="329" t="s">
        <v>343</v>
      </c>
      <c r="C158" s="330"/>
      <c r="D158" s="330"/>
      <c r="E158" s="330"/>
      <c r="F158" s="331"/>
    </row>
    <row r="159" spans="1:6" s="316" customFormat="1">
      <c r="A159" s="155"/>
      <c r="B159" s="290"/>
      <c r="C159" s="156"/>
      <c r="D159" s="70" t="s">
        <v>109</v>
      </c>
      <c r="E159" s="70"/>
      <c r="F159" s="75">
        <f>SUM(F156:F158)</f>
        <v>3054.6993933045355</v>
      </c>
    </row>
    <row r="160" spans="1:6" s="316" customFormat="1">
      <c r="A160" s="155"/>
      <c r="B160" s="290"/>
      <c r="C160" s="72"/>
      <c r="D160" s="156" t="s">
        <v>243</v>
      </c>
      <c r="E160" s="163">
        <v>0.25840000000000002</v>
      </c>
      <c r="F160" s="76">
        <f>F159*E160</f>
        <v>789.33432322989199</v>
      </c>
    </row>
    <row r="161" spans="1:11" s="316" customFormat="1">
      <c r="A161" s="155"/>
      <c r="B161" s="290"/>
      <c r="C161" s="71"/>
      <c r="D161" s="586" t="s">
        <v>112</v>
      </c>
      <c r="E161" s="587"/>
      <c r="F161" s="588">
        <f>F160+F159</f>
        <v>3844.0337165344276</v>
      </c>
    </row>
    <row r="162" spans="1:11" s="295" customFormat="1" ht="15.75" thickBot="1">
      <c r="A162" s="905"/>
      <c r="B162" s="905"/>
      <c r="C162" s="905"/>
      <c r="D162" s="905"/>
      <c r="E162" s="905"/>
      <c r="F162" s="905"/>
    </row>
    <row r="163" spans="1:11" ht="25.5" customHeight="1">
      <c r="A163" s="146" t="str">
        <f>'ANEXO V- Planilha Orçamentária'!B30</f>
        <v>MDF-Man-0012/17</v>
      </c>
      <c r="B163" s="166" t="s">
        <v>636</v>
      </c>
      <c r="C163" s="318" t="s">
        <v>641</v>
      </c>
      <c r="D163" s="176"/>
      <c r="E163" s="164" t="s">
        <v>229</v>
      </c>
      <c r="F163" s="165">
        <f>F172</f>
        <v>3193.1056368640002</v>
      </c>
    </row>
    <row r="164" spans="1:11">
      <c r="A164" s="332" t="s">
        <v>254</v>
      </c>
      <c r="B164" s="506" t="s">
        <v>635</v>
      </c>
      <c r="C164" s="334"/>
      <c r="D164" s="335"/>
      <c r="E164" s="336" t="s">
        <v>228</v>
      </c>
      <c r="F164" s="337" t="s">
        <v>12</v>
      </c>
    </row>
    <row r="165" spans="1:11">
      <c r="A165" s="147" t="s">
        <v>240</v>
      </c>
      <c r="B165" s="148"/>
      <c r="C165" s="149"/>
      <c r="D165" s="150"/>
      <c r="E165" s="151"/>
      <c r="F165" s="152"/>
    </row>
    <row r="166" spans="1:11">
      <c r="A166" s="297" t="s">
        <v>237</v>
      </c>
      <c r="B166" s="153" t="s">
        <v>106</v>
      </c>
      <c r="C166" s="153" t="s">
        <v>238</v>
      </c>
      <c r="D166" s="153" t="s">
        <v>107</v>
      </c>
      <c r="E166" s="153" t="s">
        <v>239</v>
      </c>
      <c r="F166" s="154" t="s">
        <v>108</v>
      </c>
    </row>
    <row r="167" spans="1:11" ht="60">
      <c r="A167" s="326" t="s">
        <v>594</v>
      </c>
      <c r="B167" s="171" t="s">
        <v>847</v>
      </c>
      <c r="C167" s="168" t="s">
        <v>564</v>
      </c>
      <c r="D167" s="169">
        <v>220</v>
      </c>
      <c r="E167" s="169">
        <f>'VIII - ENC.POR CARGO. FUNÇÃO'!R9</f>
        <v>10.851967999999999</v>
      </c>
      <c r="F167" s="172">
        <f>D167*E167</f>
        <v>2387.4329600000001</v>
      </c>
    </row>
    <row r="168" spans="1:11" s="316" customFormat="1" ht="24">
      <c r="A168" s="552"/>
      <c r="B168" s="553" t="s">
        <v>587</v>
      </c>
      <c r="C168" s="554" t="s">
        <v>564</v>
      </c>
      <c r="D168" s="555">
        <v>220</v>
      </c>
      <c r="E168" s="555">
        <f>150/220</f>
        <v>0.68181818181818177</v>
      </c>
      <c r="F168" s="172">
        <f>D168*E168</f>
        <v>150</v>
      </c>
    </row>
    <row r="169" spans="1:11" ht="36">
      <c r="A169" s="328"/>
      <c r="B169" s="329" t="s">
        <v>344</v>
      </c>
      <c r="C169" s="330"/>
      <c r="D169" s="330"/>
      <c r="E169" s="330"/>
      <c r="F169" s="331"/>
      <c r="K169">
        <f>33.69+49.52</f>
        <v>83.210000000000008</v>
      </c>
    </row>
    <row r="170" spans="1:11">
      <c r="A170" s="910"/>
      <c r="B170" s="911"/>
      <c r="C170" s="156"/>
      <c r="D170" s="70" t="s">
        <v>109</v>
      </c>
      <c r="E170" s="70"/>
      <c r="F170" s="75">
        <f>SUM(F167:F169)</f>
        <v>2537.4329600000001</v>
      </c>
    </row>
    <row r="171" spans="1:11">
      <c r="A171" s="912"/>
      <c r="B171" s="913"/>
      <c r="C171" s="72"/>
      <c r="D171" s="156" t="s">
        <v>243</v>
      </c>
      <c r="E171" s="163">
        <v>0.25840000000000002</v>
      </c>
      <c r="F171" s="76">
        <f>F170*E171</f>
        <v>655.6726768640001</v>
      </c>
    </row>
    <row r="172" spans="1:11">
      <c r="A172" s="914"/>
      <c r="B172" s="915"/>
      <c r="C172" s="71"/>
      <c r="D172" s="586" t="s">
        <v>112</v>
      </c>
      <c r="E172" s="587"/>
      <c r="F172" s="588">
        <f>F171+F170</f>
        <v>3193.1056368640002</v>
      </c>
    </row>
    <row r="173" spans="1:11" s="316" customFormat="1" ht="15.75" thickBot="1">
      <c r="A173" s="535"/>
      <c r="B173" s="536"/>
      <c r="C173" s="351"/>
      <c r="D173" s="352"/>
      <c r="E173" s="353"/>
      <c r="F173" s="354"/>
    </row>
    <row r="174" spans="1:11" s="316" customFormat="1" ht="26.25" customHeight="1">
      <c r="A174" s="146" t="str">
        <f>'ANEXO V- Planilha Orçamentária'!B33</f>
        <v>MDF-Man-0013/17</v>
      </c>
      <c r="B174" s="166" t="s">
        <v>585</v>
      </c>
      <c r="C174" s="899" t="s">
        <v>641</v>
      </c>
      <c r="D174" s="900"/>
      <c r="E174" s="164" t="s">
        <v>229</v>
      </c>
      <c r="F174" s="165">
        <f>F182</f>
        <v>5851.7067231479996</v>
      </c>
    </row>
    <row r="175" spans="1:11" s="316" customFormat="1">
      <c r="A175" s="332" t="s">
        <v>254</v>
      </c>
      <c r="B175" s="333" t="s">
        <v>596</v>
      </c>
      <c r="C175" s="334"/>
      <c r="D175" s="335"/>
      <c r="E175" s="336" t="s">
        <v>228</v>
      </c>
      <c r="F175" s="337" t="s">
        <v>12</v>
      </c>
    </row>
    <row r="176" spans="1:11" s="316" customFormat="1">
      <c r="A176" s="147" t="s">
        <v>240</v>
      </c>
      <c r="B176" s="148"/>
      <c r="C176" s="149"/>
      <c r="D176" s="150"/>
      <c r="E176" s="151"/>
      <c r="F176" s="152"/>
    </row>
    <row r="177" spans="1:11" s="316" customFormat="1">
      <c r="A177" s="297" t="s">
        <v>237</v>
      </c>
      <c r="B177" s="153" t="s">
        <v>106</v>
      </c>
      <c r="C177" s="153" t="s">
        <v>238</v>
      </c>
      <c r="D177" s="153" t="s">
        <v>107</v>
      </c>
      <c r="E177" s="153" t="s">
        <v>239</v>
      </c>
      <c r="F177" s="154" t="s">
        <v>108</v>
      </c>
    </row>
    <row r="178" spans="1:11" s="316" customFormat="1" ht="60">
      <c r="A178" s="326" t="s">
        <v>595</v>
      </c>
      <c r="B178" s="589" t="s">
        <v>848</v>
      </c>
      <c r="C178" s="168" t="s">
        <v>562</v>
      </c>
      <c r="D178" s="169">
        <v>220</v>
      </c>
      <c r="E178" s="169">
        <f>'VIII - ENC.POR CARGO. FUNÇÃO'!P10</f>
        <v>20.45507543181818</v>
      </c>
      <c r="F178" s="172">
        <f>E178*D178</f>
        <v>4500.1165949999995</v>
      </c>
      <c r="I178" s="316">
        <v>326</v>
      </c>
    </row>
    <row r="179" spans="1:11" s="316" customFormat="1" ht="24">
      <c r="A179" s="561"/>
      <c r="B179" s="329" t="s">
        <v>587</v>
      </c>
      <c r="C179" s="330" t="s">
        <v>562</v>
      </c>
      <c r="D179" s="177">
        <v>220</v>
      </c>
      <c r="E179" s="555">
        <f>150/220</f>
        <v>0.68181818181818177</v>
      </c>
      <c r="F179" s="331">
        <f>D179*E179</f>
        <v>150</v>
      </c>
    </row>
    <row r="180" spans="1:11" s="316" customFormat="1">
      <c r="A180" s="338"/>
      <c r="B180" s="339"/>
      <c r="C180" s="340"/>
      <c r="D180" s="309" t="s">
        <v>109</v>
      </c>
      <c r="E180" s="309"/>
      <c r="F180" s="310">
        <f>SUM(F178:F179)</f>
        <v>4650.1165949999995</v>
      </c>
      <c r="I180" s="316">
        <v>220</v>
      </c>
      <c r="J180" s="316">
        <f>I178/I180</f>
        <v>1.4818181818181819</v>
      </c>
    </row>
    <row r="181" spans="1:11" s="316" customFormat="1">
      <c r="A181" s="338"/>
      <c r="B181" s="339"/>
      <c r="C181" s="340"/>
      <c r="D181" s="340" t="s">
        <v>243</v>
      </c>
      <c r="E181" s="343">
        <v>0.25840000000000002</v>
      </c>
      <c r="F181" s="342">
        <f>F180*E181</f>
        <v>1201.5901281479998</v>
      </c>
    </row>
    <row r="182" spans="1:11" s="316" customFormat="1">
      <c r="A182" s="338"/>
      <c r="B182" s="339"/>
      <c r="C182" s="311"/>
      <c r="D182" s="590" t="s">
        <v>112</v>
      </c>
      <c r="E182" s="591"/>
      <c r="F182" s="592">
        <f>F181+F180</f>
        <v>5851.7067231479996</v>
      </c>
    </row>
    <row r="183" spans="1:11" s="316" customFormat="1" ht="15.75" thickBot="1">
      <c r="A183" s="905"/>
      <c r="B183" s="905"/>
      <c r="C183" s="905"/>
      <c r="D183" s="905"/>
      <c r="E183" s="905"/>
      <c r="F183" s="905"/>
    </row>
    <row r="184" spans="1:11" s="316" customFormat="1" ht="25.5" customHeight="1">
      <c r="A184" s="146" t="str">
        <f>'ANEXO V- Planilha Orçamentária'!B34</f>
        <v>MDF-Man-0014/17</v>
      </c>
      <c r="B184" s="166" t="s">
        <v>849</v>
      </c>
      <c r="C184" s="318" t="s">
        <v>641</v>
      </c>
      <c r="D184" s="176"/>
      <c r="E184" s="164" t="s">
        <v>229</v>
      </c>
      <c r="F184" s="165">
        <f>F193</f>
        <v>3365.6047921496001</v>
      </c>
    </row>
    <row r="185" spans="1:11" s="316" customFormat="1">
      <c r="A185" s="332" t="s">
        <v>254</v>
      </c>
      <c r="B185" s="506" t="s">
        <v>596</v>
      </c>
      <c r="C185" s="334"/>
      <c r="D185" s="335"/>
      <c r="E185" s="336" t="s">
        <v>228</v>
      </c>
      <c r="F185" s="337" t="s">
        <v>12</v>
      </c>
    </row>
    <row r="186" spans="1:11" s="316" customFormat="1">
      <c r="A186" s="147" t="s">
        <v>240</v>
      </c>
      <c r="B186" s="148"/>
      <c r="C186" s="149"/>
      <c r="D186" s="150"/>
      <c r="E186" s="151"/>
      <c r="F186" s="152"/>
    </row>
    <row r="187" spans="1:11" s="316" customFormat="1">
      <c r="A187" s="297" t="s">
        <v>237</v>
      </c>
      <c r="B187" s="153" t="s">
        <v>106</v>
      </c>
      <c r="C187" s="153" t="s">
        <v>238</v>
      </c>
      <c r="D187" s="153" t="s">
        <v>107</v>
      </c>
      <c r="E187" s="153" t="s">
        <v>239</v>
      </c>
      <c r="F187" s="154" t="s">
        <v>108</v>
      </c>
    </row>
    <row r="188" spans="1:11" s="316" customFormat="1" ht="60">
      <c r="A188" s="326" t="s">
        <v>594</v>
      </c>
      <c r="B188" s="171" t="s">
        <v>850</v>
      </c>
      <c r="C188" s="168" t="s">
        <v>564</v>
      </c>
      <c r="D188" s="169">
        <v>220</v>
      </c>
      <c r="E188" s="169">
        <f>'VIII - ENC.POR CARGO. FUNÇÃO'!P11</f>
        <v>11.475050540909091</v>
      </c>
      <c r="F188" s="172">
        <f>D188*E188</f>
        <v>2524.5111190000002</v>
      </c>
    </row>
    <row r="189" spans="1:11" s="316" customFormat="1" ht="45.75" customHeight="1">
      <c r="A189" s="556"/>
      <c r="B189" s="557" t="s">
        <v>587</v>
      </c>
      <c r="C189" s="558" t="s">
        <v>564</v>
      </c>
      <c r="D189" s="559">
        <v>220</v>
      </c>
      <c r="E189" s="555">
        <f>150/220</f>
        <v>0.68181818181818177</v>
      </c>
      <c r="F189" s="560">
        <f>D189*E189</f>
        <v>150</v>
      </c>
    </row>
    <row r="190" spans="1:11" s="316" customFormat="1" ht="36">
      <c r="A190" s="328"/>
      <c r="B190" s="329" t="s">
        <v>851</v>
      </c>
      <c r="C190" s="330"/>
      <c r="D190" s="330"/>
      <c r="E190" s="330"/>
      <c r="F190" s="331"/>
      <c r="K190" s="316">
        <f>33.69+49.52</f>
        <v>83.210000000000008</v>
      </c>
    </row>
    <row r="191" spans="1:11" s="316" customFormat="1">
      <c r="A191" s="910"/>
      <c r="B191" s="911"/>
      <c r="C191" s="156"/>
      <c r="D191" s="70" t="s">
        <v>109</v>
      </c>
      <c r="E191" s="70"/>
      <c r="F191" s="75">
        <f>SUM(F188:F190)</f>
        <v>2674.5111190000002</v>
      </c>
    </row>
    <row r="192" spans="1:11" s="316" customFormat="1">
      <c r="A192" s="912"/>
      <c r="B192" s="913"/>
      <c r="C192" s="72"/>
      <c r="D192" s="156" t="s">
        <v>243</v>
      </c>
      <c r="E192" s="163">
        <v>0.25840000000000002</v>
      </c>
      <c r="F192" s="76">
        <f>F191*E192</f>
        <v>691.09367314960014</v>
      </c>
    </row>
    <row r="193" spans="1:6" s="316" customFormat="1">
      <c r="A193" s="914"/>
      <c r="B193" s="915"/>
      <c r="C193" s="71" t="s">
        <v>110</v>
      </c>
      <c r="D193" s="71"/>
      <c r="E193" s="71"/>
      <c r="F193" s="75">
        <f>SUM(F191:F192)</f>
        <v>3365.6047921496001</v>
      </c>
    </row>
    <row r="194" spans="1:6" s="316" customFormat="1" ht="15.75" thickBot="1">
      <c r="A194" s="901"/>
      <c r="B194" s="901"/>
      <c r="C194" s="901"/>
      <c r="D194" s="901"/>
      <c r="E194" s="901"/>
      <c r="F194" s="901"/>
    </row>
    <row r="195" spans="1:6" s="316" customFormat="1" ht="26.25" customHeight="1">
      <c r="A195" s="146" t="str">
        <f>'ANEXO V- Planilha Orçamentária'!B35</f>
        <v>MDF-Man-0015/17</v>
      </c>
      <c r="B195" s="166" t="s">
        <v>586</v>
      </c>
      <c r="C195" s="899" t="s">
        <v>641</v>
      </c>
      <c r="D195" s="900"/>
      <c r="E195" s="164" t="s">
        <v>229</v>
      </c>
      <c r="F195" s="165">
        <f>F203</f>
        <v>7332.2905570200001</v>
      </c>
    </row>
    <row r="196" spans="1:6" s="316" customFormat="1">
      <c r="A196" s="332" t="s">
        <v>254</v>
      </c>
      <c r="B196" s="333" t="s">
        <v>597</v>
      </c>
      <c r="C196" s="334"/>
      <c r="D196" s="335"/>
      <c r="E196" s="336" t="s">
        <v>228</v>
      </c>
      <c r="F196" s="337" t="s">
        <v>12</v>
      </c>
    </row>
    <row r="197" spans="1:6" s="316" customFormat="1">
      <c r="A197" s="147" t="s">
        <v>240</v>
      </c>
      <c r="B197" s="148"/>
      <c r="C197" s="149"/>
      <c r="D197" s="150"/>
      <c r="E197" s="151"/>
      <c r="F197" s="152"/>
    </row>
    <row r="198" spans="1:6" s="316" customFormat="1">
      <c r="A198" s="297" t="s">
        <v>237</v>
      </c>
      <c r="B198" s="153" t="s">
        <v>106</v>
      </c>
      <c r="C198" s="153" t="s">
        <v>238</v>
      </c>
      <c r="D198" s="153" t="s">
        <v>107</v>
      </c>
      <c r="E198" s="153" t="s">
        <v>239</v>
      </c>
      <c r="F198" s="154" t="s">
        <v>108</v>
      </c>
    </row>
    <row r="199" spans="1:6" s="316" customFormat="1" ht="69" customHeight="1">
      <c r="A199" s="326" t="s">
        <v>598</v>
      </c>
      <c r="B199" s="171" t="s">
        <v>852</v>
      </c>
      <c r="C199" s="168" t="s">
        <v>564</v>
      </c>
      <c r="D199" s="169">
        <v>220</v>
      </c>
      <c r="E199" s="169">
        <f>'VIII - ENC.POR CARGO. FUNÇÃO'!Q12</f>
        <v>25.803078068181819</v>
      </c>
      <c r="F199" s="172">
        <f>E199*D199</f>
        <v>5676.6771749999998</v>
      </c>
    </row>
    <row r="200" spans="1:6" s="316" customFormat="1" ht="24">
      <c r="A200" s="561"/>
      <c r="B200" s="329" t="s">
        <v>587</v>
      </c>
      <c r="C200" s="330" t="s">
        <v>564</v>
      </c>
      <c r="D200" s="177">
        <v>220</v>
      </c>
      <c r="E200" s="555">
        <f>150/220</f>
        <v>0.68181818181818177</v>
      </c>
      <c r="F200" s="170">
        <f>E200*D200</f>
        <v>150</v>
      </c>
    </row>
    <row r="201" spans="1:6" s="316" customFormat="1">
      <c r="A201" s="338"/>
      <c r="B201" s="339"/>
      <c r="C201" s="340"/>
      <c r="D201" s="309" t="s">
        <v>109</v>
      </c>
      <c r="E201" s="309"/>
      <c r="F201" s="310">
        <f>SUM(F199:F200)</f>
        <v>5826.6771749999998</v>
      </c>
    </row>
    <row r="202" spans="1:6" s="316" customFormat="1">
      <c r="A202" s="338"/>
      <c r="B202" s="339"/>
      <c r="C202" s="341"/>
      <c r="D202" s="340" t="s">
        <v>243</v>
      </c>
      <c r="E202" s="343">
        <v>0.25840000000000002</v>
      </c>
      <c r="F202" s="342">
        <f>F201*E202</f>
        <v>1505.61338202</v>
      </c>
    </row>
    <row r="203" spans="1:6" s="316" customFormat="1">
      <c r="A203" s="338"/>
      <c r="B203" s="339"/>
      <c r="C203" s="311"/>
      <c r="D203" s="73" t="s">
        <v>112</v>
      </c>
      <c r="E203" s="74"/>
      <c r="F203" s="592">
        <f>SUM(F201:F202)</f>
        <v>7332.2905570200001</v>
      </c>
    </row>
    <row r="204" spans="1:6" s="316" customFormat="1" ht="15.75" thickBot="1">
      <c r="A204" s="905"/>
      <c r="B204" s="905"/>
      <c r="C204" s="905"/>
      <c r="D204" s="905"/>
      <c r="E204" s="905"/>
      <c r="F204" s="905"/>
    </row>
    <row r="205" spans="1:6" s="316" customFormat="1" ht="25.5" customHeight="1">
      <c r="A205" s="146" t="str">
        <f>'ANEXO V- Planilha Orçamentária'!B36</f>
        <v>MDF-Man-0016/17</v>
      </c>
      <c r="B205" s="166" t="s">
        <v>853</v>
      </c>
      <c r="C205" s="318" t="s">
        <v>641</v>
      </c>
      <c r="D205" s="176"/>
      <c r="E205" s="164" t="s">
        <v>229</v>
      </c>
      <c r="F205" s="165">
        <f>F214</f>
        <v>4133.2089043959995</v>
      </c>
    </row>
    <row r="206" spans="1:6" s="316" customFormat="1">
      <c r="A206" s="332" t="s">
        <v>254</v>
      </c>
      <c r="B206" s="506" t="s">
        <v>597</v>
      </c>
      <c r="C206" s="334"/>
      <c r="D206" s="335"/>
      <c r="E206" s="336" t="s">
        <v>228</v>
      </c>
      <c r="F206" s="337" t="s">
        <v>12</v>
      </c>
    </row>
    <row r="207" spans="1:6" s="316" customFormat="1">
      <c r="A207" s="147" t="s">
        <v>240</v>
      </c>
      <c r="B207" s="148"/>
      <c r="C207" s="149"/>
      <c r="D207" s="150"/>
      <c r="E207" s="151"/>
      <c r="F207" s="152"/>
    </row>
    <row r="208" spans="1:6" s="316" customFormat="1">
      <c r="A208" s="297" t="s">
        <v>237</v>
      </c>
      <c r="B208" s="153" t="s">
        <v>106</v>
      </c>
      <c r="C208" s="153" t="s">
        <v>238</v>
      </c>
      <c r="D208" s="153" t="s">
        <v>107</v>
      </c>
      <c r="E208" s="153" t="s">
        <v>239</v>
      </c>
      <c r="F208" s="154" t="s">
        <v>108</v>
      </c>
    </row>
    <row r="209" spans="1:6" s="316" customFormat="1" ht="60">
      <c r="A209" s="326" t="s">
        <v>594</v>
      </c>
      <c r="B209" s="171" t="s">
        <v>854</v>
      </c>
      <c r="C209" s="168" t="s">
        <v>564</v>
      </c>
      <c r="D209" s="169">
        <v>220</v>
      </c>
      <c r="E209" s="169">
        <f>'VIII - ENC.POR CARGO. FUNÇÃO'!Q13</f>
        <v>14.247705977272727</v>
      </c>
      <c r="F209" s="172">
        <f>D209*E209</f>
        <v>3134.4953149999997</v>
      </c>
    </row>
    <row r="210" spans="1:6" s="316" customFormat="1" ht="24">
      <c r="A210" s="561"/>
      <c r="B210" s="329" t="s">
        <v>587</v>
      </c>
      <c r="C210" s="330" t="s">
        <v>564</v>
      </c>
      <c r="D210" s="177">
        <v>220</v>
      </c>
      <c r="E210" s="177">
        <f>150/220</f>
        <v>0.68181818181818177</v>
      </c>
      <c r="F210" s="172">
        <f>D210*E210</f>
        <v>150</v>
      </c>
    </row>
    <row r="211" spans="1:6" s="316" customFormat="1" ht="36">
      <c r="A211" s="328"/>
      <c r="B211" s="329" t="s">
        <v>599</v>
      </c>
      <c r="C211" s="330"/>
      <c r="D211" s="330"/>
      <c r="E211" s="330"/>
      <c r="F211" s="331"/>
    </row>
    <row r="212" spans="1:6" s="316" customFormat="1">
      <c r="A212" s="910"/>
      <c r="B212" s="911"/>
      <c r="C212" s="156"/>
      <c r="D212" s="70" t="s">
        <v>109</v>
      </c>
      <c r="E212" s="70"/>
      <c r="F212" s="75">
        <f>SUM(F209:F211)</f>
        <v>3284.4953149999997</v>
      </c>
    </row>
    <row r="213" spans="1:6" s="316" customFormat="1">
      <c r="A213" s="912"/>
      <c r="B213" s="913"/>
      <c r="C213" s="72"/>
      <c r="D213" s="156" t="s">
        <v>243</v>
      </c>
      <c r="E213" s="163">
        <v>0.25840000000000002</v>
      </c>
      <c r="F213" s="76">
        <f>F212*E213</f>
        <v>848.71358939599997</v>
      </c>
    </row>
    <row r="214" spans="1:6" s="316" customFormat="1">
      <c r="A214" s="914"/>
      <c r="B214" s="915"/>
      <c r="C214" s="71"/>
      <c r="D214" s="73" t="s">
        <v>112</v>
      </c>
      <c r="E214" s="74"/>
      <c r="F214" s="592">
        <f>SUM(F212:F213)</f>
        <v>4133.2089043959995</v>
      </c>
    </row>
    <row r="215" spans="1:6" ht="15.75" thickBot="1">
      <c r="A215" s="905"/>
      <c r="B215" s="905"/>
      <c r="C215" s="905"/>
      <c r="D215" s="905"/>
      <c r="E215" s="905"/>
      <c r="F215" s="905"/>
    </row>
    <row r="216" spans="1:6" s="53" customFormat="1" ht="72">
      <c r="A216" s="146" t="str">
        <f>'ANEXO V- Planilha Orçamentária'!B79</f>
        <v>MDF-Man-0054/17</v>
      </c>
      <c r="B216" s="361" t="s">
        <v>566</v>
      </c>
      <c r="C216" s="318" t="s">
        <v>641</v>
      </c>
      <c r="D216" s="176"/>
      <c r="E216" s="164" t="s">
        <v>229</v>
      </c>
      <c r="F216" s="165">
        <f>F221</f>
        <v>676.39</v>
      </c>
    </row>
    <row r="217" spans="1:6" s="53" customFormat="1">
      <c r="A217" s="332" t="s">
        <v>254</v>
      </c>
      <c r="B217" s="333" t="s">
        <v>600</v>
      </c>
      <c r="C217" s="334"/>
      <c r="D217" s="335"/>
      <c r="E217" s="336" t="s">
        <v>228</v>
      </c>
      <c r="F217" s="337" t="s">
        <v>235</v>
      </c>
    </row>
    <row r="218" spans="1:6" s="53" customFormat="1">
      <c r="A218" s="338"/>
      <c r="B218" s="339"/>
      <c r="C218" s="340"/>
      <c r="D218" s="309" t="s">
        <v>111</v>
      </c>
      <c r="E218" s="309"/>
      <c r="F218" s="310">
        <v>537.5</v>
      </c>
    </row>
    <row r="219" spans="1:6" s="53" customFormat="1">
      <c r="A219" s="338"/>
      <c r="B219" s="339"/>
      <c r="C219" s="340"/>
      <c r="D219" s="341" t="s">
        <v>266</v>
      </c>
      <c r="E219" s="341"/>
      <c r="F219" s="342">
        <v>537.5</v>
      </c>
    </row>
    <row r="220" spans="1:6" s="53" customFormat="1">
      <c r="A220" s="338"/>
      <c r="B220" s="339"/>
      <c r="C220" s="340"/>
      <c r="D220" s="340" t="s">
        <v>243</v>
      </c>
      <c r="E220" s="343">
        <v>0.25840000000000002</v>
      </c>
      <c r="F220" s="342">
        <f>F219*E220</f>
        <v>138.89000000000001</v>
      </c>
    </row>
    <row r="221" spans="1:6" s="53" customFormat="1">
      <c r="A221" s="338"/>
      <c r="B221" s="339"/>
      <c r="C221" s="340"/>
      <c r="D221" s="312" t="s">
        <v>112</v>
      </c>
      <c r="E221" s="313"/>
      <c r="F221" s="314">
        <f>F220+F219</f>
        <v>676.39</v>
      </c>
    </row>
    <row r="222" spans="1:6" s="53" customFormat="1" ht="15.75" thickBot="1">
      <c r="A222" s="905"/>
      <c r="B222" s="905"/>
      <c r="C222" s="905"/>
      <c r="D222" s="905"/>
      <c r="E222" s="905"/>
      <c r="F222" s="905"/>
    </row>
    <row r="223" spans="1:6" s="53" customFormat="1" ht="87.75" customHeight="1">
      <c r="A223" s="146" t="str">
        <f>'ANEXO V- Planilha Orçamentária'!B80</f>
        <v>MDF-Man-0055/17</v>
      </c>
      <c r="B223" s="361" t="s">
        <v>469</v>
      </c>
      <c r="C223" s="318" t="s">
        <v>641</v>
      </c>
      <c r="D223" s="176"/>
      <c r="E223" s="164" t="s">
        <v>229</v>
      </c>
      <c r="F223" s="165">
        <f>F228</f>
        <v>742.45600000000002</v>
      </c>
    </row>
    <row r="224" spans="1:6" s="53" customFormat="1">
      <c r="A224" s="332" t="s">
        <v>254</v>
      </c>
      <c r="B224" s="333" t="s">
        <v>601</v>
      </c>
      <c r="C224" s="334"/>
      <c r="D224" s="335"/>
      <c r="E224" s="336" t="s">
        <v>228</v>
      </c>
      <c r="F224" s="337" t="s">
        <v>235</v>
      </c>
    </row>
    <row r="225" spans="1:9" s="53" customFormat="1">
      <c r="A225" s="338"/>
      <c r="B225" s="339"/>
      <c r="C225" s="340"/>
      <c r="D225" s="309" t="s">
        <v>111</v>
      </c>
      <c r="E225" s="309"/>
      <c r="F225" s="310">
        <v>590</v>
      </c>
    </row>
    <row r="226" spans="1:9" s="53" customFormat="1">
      <c r="A226" s="338"/>
      <c r="B226" s="339"/>
      <c r="C226" s="340"/>
      <c r="D226" s="341" t="s">
        <v>266</v>
      </c>
      <c r="E226" s="341"/>
      <c r="F226" s="342">
        <v>590</v>
      </c>
    </row>
    <row r="227" spans="1:9" s="53" customFormat="1">
      <c r="A227" s="338"/>
      <c r="B227" s="339"/>
      <c r="C227" s="340"/>
      <c r="D227" s="340" t="s">
        <v>243</v>
      </c>
      <c r="E227" s="343">
        <v>0.25840000000000002</v>
      </c>
      <c r="F227" s="342">
        <f>F226*E227</f>
        <v>152.45600000000002</v>
      </c>
    </row>
    <row r="228" spans="1:9" s="53" customFormat="1">
      <c r="A228" s="338"/>
      <c r="B228" s="339"/>
      <c r="C228" s="340"/>
      <c r="D228" s="73" t="s">
        <v>112</v>
      </c>
      <c r="E228" s="74"/>
      <c r="F228" s="77">
        <f>F227+F226</f>
        <v>742.45600000000002</v>
      </c>
    </row>
    <row r="229" spans="1:9" ht="15.75" thickBot="1">
      <c r="A229" s="905"/>
      <c r="B229" s="905"/>
      <c r="C229" s="905"/>
      <c r="D229" s="905"/>
      <c r="E229" s="905"/>
      <c r="F229" s="905"/>
    </row>
    <row r="230" spans="1:9" ht="91.5" customHeight="1">
      <c r="A230" s="146" t="str">
        <f>'ANEXO V- Planilha Orçamentária'!B81</f>
        <v>MDF-Man-0056/17</v>
      </c>
      <c r="B230" s="361" t="s">
        <v>470</v>
      </c>
      <c r="C230" s="318" t="s">
        <v>641</v>
      </c>
      <c r="D230" s="176"/>
      <c r="E230" s="164" t="s">
        <v>229</v>
      </c>
      <c r="F230" s="165">
        <f>F235</f>
        <v>924.92399999999998</v>
      </c>
    </row>
    <row r="231" spans="1:9">
      <c r="A231" s="332" t="s">
        <v>254</v>
      </c>
      <c r="B231" s="333" t="s">
        <v>601</v>
      </c>
      <c r="C231" s="334"/>
      <c r="D231" s="335"/>
      <c r="E231" s="336" t="s">
        <v>228</v>
      </c>
      <c r="F231" s="337" t="s">
        <v>235</v>
      </c>
    </row>
    <row r="232" spans="1:9">
      <c r="A232" s="155"/>
      <c r="B232" s="290"/>
      <c r="C232" s="156"/>
      <c r="D232" s="70" t="s">
        <v>111</v>
      </c>
      <c r="E232" s="70"/>
      <c r="F232" s="75">
        <v>735</v>
      </c>
    </row>
    <row r="233" spans="1:9">
      <c r="A233" s="155"/>
      <c r="B233" s="290"/>
      <c r="C233" s="156"/>
      <c r="D233" s="72" t="s">
        <v>266</v>
      </c>
      <c r="E233" s="72"/>
      <c r="F233" s="76">
        <v>735</v>
      </c>
    </row>
    <row r="234" spans="1:9">
      <c r="A234" s="155"/>
      <c r="B234" s="290"/>
      <c r="C234" s="156"/>
      <c r="D234" s="156" t="s">
        <v>243</v>
      </c>
      <c r="E234" s="163">
        <v>0.25840000000000002</v>
      </c>
      <c r="F234" s="76">
        <f>F233*E234</f>
        <v>189.92400000000001</v>
      </c>
    </row>
    <row r="235" spans="1:9">
      <c r="A235" s="155"/>
      <c r="B235" s="290"/>
      <c r="C235" s="156"/>
      <c r="D235" s="73" t="s">
        <v>112</v>
      </c>
      <c r="E235" s="74"/>
      <c r="F235" s="77">
        <f>F234+F233</f>
        <v>924.92399999999998</v>
      </c>
    </row>
    <row r="236" spans="1:9" ht="15.75" thickBot="1">
      <c r="A236" s="909"/>
      <c r="B236" s="909"/>
      <c r="C236" s="909"/>
      <c r="D236" s="909"/>
      <c r="E236" s="909"/>
      <c r="F236" s="909"/>
    </row>
    <row r="237" spans="1:9" ht="90" customHeight="1">
      <c r="A237" s="146" t="str">
        <f>'ANEXO V- Planilha Orçamentária'!B82</f>
        <v>MDF-Man-0057/17</v>
      </c>
      <c r="B237" s="361" t="s">
        <v>471</v>
      </c>
      <c r="C237" s="318" t="s">
        <v>641</v>
      </c>
      <c r="D237" s="176"/>
      <c r="E237" s="164" t="s">
        <v>229</v>
      </c>
      <c r="F237" s="165">
        <f>F242</f>
        <v>1013.0120000000001</v>
      </c>
      <c r="I237" s="344" t="e">
        <f>F237+F230+F223+F216+F163+#REF!+F141+F105+F89+F131+#REF!+#REF!+#REF!+#REF!+#REF!+F121+F72+F54+F37+#REF!+#REF!+F20+F2</f>
        <v>#REF!</v>
      </c>
    </row>
    <row r="238" spans="1:9">
      <c r="A238" s="332" t="s">
        <v>254</v>
      </c>
      <c r="B238" s="333" t="s">
        <v>601</v>
      </c>
      <c r="C238" s="334"/>
      <c r="D238" s="335"/>
      <c r="E238" s="336" t="s">
        <v>228</v>
      </c>
      <c r="F238" s="337" t="s">
        <v>235</v>
      </c>
    </row>
    <row r="239" spans="1:9">
      <c r="A239" s="155"/>
      <c r="B239" s="290"/>
      <c r="C239" s="156"/>
      <c r="D239" s="70" t="s">
        <v>111</v>
      </c>
      <c r="E239" s="70"/>
      <c r="F239" s="75">
        <v>805</v>
      </c>
    </row>
    <row r="240" spans="1:9">
      <c r="A240" s="155"/>
      <c r="B240" s="290"/>
      <c r="C240" s="156"/>
      <c r="D240" s="72" t="s">
        <v>266</v>
      </c>
      <c r="E240" s="72"/>
      <c r="F240" s="76">
        <v>805</v>
      </c>
    </row>
    <row r="241" spans="1:9">
      <c r="A241" s="155"/>
      <c r="B241" s="290"/>
      <c r="C241" s="156"/>
      <c r="D241" s="156" t="s">
        <v>243</v>
      </c>
      <c r="E241" s="163">
        <v>0.25840000000000002</v>
      </c>
      <c r="F241" s="76">
        <f>F240*E241</f>
        <v>208.01200000000003</v>
      </c>
    </row>
    <row r="242" spans="1:9">
      <c r="A242" s="155"/>
      <c r="B242" s="290"/>
      <c r="C242" s="156"/>
      <c r="D242" s="73" t="s">
        <v>112</v>
      </c>
      <c r="E242" s="74"/>
      <c r="F242" s="77">
        <f>F241+F240</f>
        <v>1013.0120000000001</v>
      </c>
    </row>
    <row r="243" spans="1:9" s="316" customFormat="1" ht="15.75" thickBot="1">
      <c r="A243" s="909"/>
      <c r="B243" s="909"/>
      <c r="C243" s="909"/>
      <c r="D243" s="909"/>
      <c r="E243" s="909"/>
      <c r="F243" s="909"/>
    </row>
    <row r="244" spans="1:9" s="316" customFormat="1" ht="90" customHeight="1">
      <c r="A244" s="146" t="str">
        <f>'ANEXO V- Planilha Orçamentária'!B83</f>
        <v>MDF-Man-0058/17</v>
      </c>
      <c r="B244" s="361" t="s">
        <v>472</v>
      </c>
      <c r="C244" s="318" t="s">
        <v>641</v>
      </c>
      <c r="D244" s="176"/>
      <c r="E244" s="164" t="s">
        <v>229</v>
      </c>
      <c r="F244" s="165">
        <f>F249</f>
        <v>1189.1880000000001</v>
      </c>
      <c r="I244" s="344" t="e">
        <f>F244+F237+F230+F220+F197+F166+F154+F144+F108+#REF!+#REF!+#REF!+#REF!+#REF!+#REF!+F134+F123+F73+F56+#REF!+#REF!+#REF!+F21</f>
        <v>#VALUE!</v>
      </c>
    </row>
    <row r="245" spans="1:9" s="316" customFormat="1">
      <c r="A245" s="332" t="s">
        <v>254</v>
      </c>
      <c r="B245" s="333" t="s">
        <v>601</v>
      </c>
      <c r="C245" s="334"/>
      <c r="D245" s="335"/>
      <c r="E245" s="336" t="s">
        <v>228</v>
      </c>
      <c r="F245" s="337" t="s">
        <v>235</v>
      </c>
    </row>
    <row r="246" spans="1:9" s="316" customFormat="1">
      <c r="A246" s="155"/>
      <c r="B246" s="290"/>
      <c r="C246" s="156"/>
      <c r="D246" s="70" t="s">
        <v>111</v>
      </c>
      <c r="E246" s="70"/>
      <c r="F246" s="75">
        <v>945</v>
      </c>
    </row>
    <row r="247" spans="1:9" s="316" customFormat="1">
      <c r="A247" s="155"/>
      <c r="B247" s="290"/>
      <c r="C247" s="156"/>
      <c r="D247" s="72" t="s">
        <v>266</v>
      </c>
      <c r="E247" s="72"/>
      <c r="F247" s="76">
        <v>945</v>
      </c>
    </row>
    <row r="248" spans="1:9" s="316" customFormat="1">
      <c r="A248" s="155"/>
      <c r="B248" s="290"/>
      <c r="C248" s="156"/>
      <c r="D248" s="156" t="s">
        <v>243</v>
      </c>
      <c r="E248" s="163">
        <v>0.25840000000000002</v>
      </c>
      <c r="F248" s="76">
        <f>F247*E248</f>
        <v>244.18800000000002</v>
      </c>
    </row>
    <row r="249" spans="1:9" s="316" customFormat="1">
      <c r="A249" s="155"/>
      <c r="B249" s="290"/>
      <c r="C249" s="156"/>
      <c r="D249" s="73" t="s">
        <v>112</v>
      </c>
      <c r="E249" s="74"/>
      <c r="F249" s="77">
        <f>F248+F247</f>
        <v>1189.1880000000001</v>
      </c>
    </row>
    <row r="250" spans="1:9" s="316" customFormat="1" ht="15.75" thickBot="1">
      <c r="A250" s="909"/>
      <c r="B250" s="909"/>
      <c r="C250" s="909"/>
      <c r="D250" s="909"/>
      <c r="E250" s="909"/>
      <c r="F250" s="909"/>
    </row>
    <row r="251" spans="1:9" s="316" customFormat="1" ht="90" customHeight="1">
      <c r="A251" s="146" t="str">
        <f>'ANEXO V- Planilha Orçamentária'!B84</f>
        <v>MDF-Man-0059/17</v>
      </c>
      <c r="B251" s="361" t="s">
        <v>473</v>
      </c>
      <c r="C251" s="318" t="s">
        <v>641</v>
      </c>
      <c r="D251" s="176"/>
      <c r="E251" s="164" t="s">
        <v>229</v>
      </c>
      <c r="F251" s="165">
        <f>F256</f>
        <v>1025.596</v>
      </c>
      <c r="I251" s="344" t="e">
        <f>F251+F244+F237+F227+F211+F201+#REF!+F158+F148+F95+#REF!+#REF!+#REF!+#REF!+#REF!+#REF!+F137+F124+F75+F52+#REF!+#REF!+#REF!</f>
        <v>#REF!</v>
      </c>
    </row>
    <row r="252" spans="1:9" s="316" customFormat="1">
      <c r="A252" s="332" t="s">
        <v>254</v>
      </c>
      <c r="B252" s="333" t="s">
        <v>601</v>
      </c>
      <c r="C252" s="334"/>
      <c r="D252" s="335"/>
      <c r="E252" s="336" t="s">
        <v>228</v>
      </c>
      <c r="F252" s="337" t="s">
        <v>235</v>
      </c>
    </row>
    <row r="253" spans="1:9" s="316" customFormat="1">
      <c r="A253" s="155"/>
      <c r="B253" s="290"/>
      <c r="C253" s="156"/>
      <c r="D253" s="70" t="s">
        <v>111</v>
      </c>
      <c r="E253" s="70"/>
      <c r="F253" s="75">
        <v>815</v>
      </c>
    </row>
    <row r="254" spans="1:9" s="316" customFormat="1">
      <c r="A254" s="155"/>
      <c r="B254" s="290"/>
      <c r="C254" s="156"/>
      <c r="D254" s="72" t="s">
        <v>266</v>
      </c>
      <c r="E254" s="72"/>
      <c r="F254" s="76">
        <v>815</v>
      </c>
    </row>
    <row r="255" spans="1:9" s="316" customFormat="1">
      <c r="A255" s="155"/>
      <c r="B255" s="290"/>
      <c r="C255" s="156"/>
      <c r="D255" s="156" t="s">
        <v>243</v>
      </c>
      <c r="E255" s="163">
        <v>0.25840000000000002</v>
      </c>
      <c r="F255" s="76">
        <f>F254*E255</f>
        <v>210.596</v>
      </c>
    </row>
    <row r="256" spans="1:9" s="316" customFormat="1">
      <c r="A256" s="155"/>
      <c r="B256" s="290"/>
      <c r="C256" s="156"/>
      <c r="D256" s="73" t="s">
        <v>112</v>
      </c>
      <c r="E256" s="74"/>
      <c r="F256" s="77">
        <f>F255+F254</f>
        <v>1025.596</v>
      </c>
    </row>
    <row r="257" spans="1:9" s="316" customFormat="1" ht="15.75" thickBot="1">
      <c r="A257" s="360"/>
      <c r="B257" s="360"/>
      <c r="C257" s="360"/>
      <c r="D257" s="360"/>
      <c r="E257" s="360"/>
      <c r="F257" s="360"/>
    </row>
    <row r="258" spans="1:9" s="316" customFormat="1" ht="84.75" customHeight="1">
      <c r="A258" s="146" t="str">
        <f>'ANEXO V- Planilha Orçamentária'!B85</f>
        <v>MDF-Man-0060/17</v>
      </c>
      <c r="B258" s="361" t="s">
        <v>474</v>
      </c>
      <c r="C258" s="318" t="s">
        <v>641</v>
      </c>
      <c r="D258" s="176"/>
      <c r="E258" s="164" t="s">
        <v>229</v>
      </c>
      <c r="F258" s="165">
        <f>F263</f>
        <v>1566.7080000000001</v>
      </c>
      <c r="I258" s="344" t="e">
        <f>F258+F251+F244+F234+#REF!+F214+F171+#REF!+F161+F114+#REF!+#REF!+#REF!+#REF!+#REF!+F98+#REF!+#REF!+#REF!+F71+F48+#REF!+#REF!</f>
        <v>#REF!</v>
      </c>
    </row>
    <row r="259" spans="1:9" s="316" customFormat="1">
      <c r="A259" s="332" t="s">
        <v>254</v>
      </c>
      <c r="B259" s="333" t="s">
        <v>601</v>
      </c>
      <c r="C259" s="334"/>
      <c r="D259" s="335"/>
      <c r="E259" s="336" t="s">
        <v>228</v>
      </c>
      <c r="F259" s="337" t="s">
        <v>235</v>
      </c>
    </row>
    <row r="260" spans="1:9" s="316" customFormat="1">
      <c r="A260" s="155"/>
      <c r="B260" s="290"/>
      <c r="C260" s="156"/>
      <c r="D260" s="70" t="s">
        <v>111</v>
      </c>
      <c r="E260" s="70"/>
      <c r="F260" s="75">
        <v>1245</v>
      </c>
    </row>
    <row r="261" spans="1:9" s="316" customFormat="1">
      <c r="A261" s="155"/>
      <c r="B261" s="290"/>
      <c r="C261" s="156"/>
      <c r="D261" s="72" t="s">
        <v>266</v>
      </c>
      <c r="E261" s="72"/>
      <c r="F261" s="76">
        <v>1245</v>
      </c>
    </row>
    <row r="262" spans="1:9" s="316" customFormat="1">
      <c r="A262" s="155"/>
      <c r="B262" s="290"/>
      <c r="C262" s="156"/>
      <c r="D262" s="156" t="s">
        <v>243</v>
      </c>
      <c r="E262" s="163">
        <v>0.25840000000000002</v>
      </c>
      <c r="F262" s="76">
        <f>F261*E262</f>
        <v>321.70800000000003</v>
      </c>
    </row>
    <row r="263" spans="1:9" s="316" customFormat="1">
      <c r="A263" s="155"/>
      <c r="B263" s="290"/>
      <c r="C263" s="156"/>
      <c r="D263" s="73" t="s">
        <v>112</v>
      </c>
      <c r="E263" s="74"/>
      <c r="F263" s="77">
        <f>F262+F261</f>
        <v>1566.7080000000001</v>
      </c>
    </row>
    <row r="264" spans="1:9" s="316" customFormat="1" ht="15.75" thickBot="1">
      <c r="A264" s="360"/>
      <c r="B264" s="360"/>
      <c r="C264" s="360"/>
      <c r="D264" s="360"/>
      <c r="E264" s="360"/>
      <c r="F264" s="360"/>
    </row>
    <row r="265" spans="1:9" s="316" customFormat="1" ht="90" customHeight="1">
      <c r="A265" s="146" t="str">
        <f>'ANEXO V- Planilha Orçamentária'!B86</f>
        <v>MDF-Man-0061/17</v>
      </c>
      <c r="B265" s="361" t="s">
        <v>468</v>
      </c>
      <c r="C265" s="318" t="s">
        <v>641</v>
      </c>
      <c r="D265" s="176"/>
      <c r="E265" s="164" t="s">
        <v>229</v>
      </c>
      <c r="F265" s="165">
        <f>F270</f>
        <v>1214.356</v>
      </c>
      <c r="I265" s="344" t="e">
        <f>F265+F258+F251+F241+#REF!+#REF!+#REF!+#REF!+#REF!+#REF!+#REF!+#REF!+#REF!+#REF!+#REF!+F117+F100+#REF!+#REF!+F122+F67+F51+#REF!</f>
        <v>#REF!</v>
      </c>
    </row>
    <row r="266" spans="1:9" s="316" customFormat="1">
      <c r="A266" s="332" t="s">
        <v>254</v>
      </c>
      <c r="B266" s="333" t="s">
        <v>601</v>
      </c>
      <c r="C266" s="334"/>
      <c r="D266" s="335"/>
      <c r="E266" s="336" t="s">
        <v>228</v>
      </c>
      <c r="F266" s="337" t="s">
        <v>235</v>
      </c>
    </row>
    <row r="267" spans="1:9" s="316" customFormat="1">
      <c r="A267" s="155"/>
      <c r="B267" s="290"/>
      <c r="C267" s="156"/>
      <c r="D267" s="70" t="s">
        <v>111</v>
      </c>
      <c r="E267" s="70"/>
      <c r="F267" s="75">
        <v>965</v>
      </c>
    </row>
    <row r="268" spans="1:9" s="316" customFormat="1">
      <c r="A268" s="155"/>
      <c r="B268" s="290"/>
      <c r="C268" s="156"/>
      <c r="D268" s="72" t="s">
        <v>266</v>
      </c>
      <c r="E268" s="72"/>
      <c r="F268" s="76">
        <v>965</v>
      </c>
    </row>
    <row r="269" spans="1:9" s="316" customFormat="1">
      <c r="A269" s="155"/>
      <c r="B269" s="290"/>
      <c r="C269" s="156"/>
      <c r="D269" s="156" t="s">
        <v>243</v>
      </c>
      <c r="E269" s="163">
        <v>0.25840000000000002</v>
      </c>
      <c r="F269" s="76">
        <f>F268*E269</f>
        <v>249.35600000000002</v>
      </c>
    </row>
    <row r="270" spans="1:9" s="316" customFormat="1">
      <c r="A270" s="155"/>
      <c r="B270" s="290"/>
      <c r="C270" s="156"/>
      <c r="D270" s="73" t="s">
        <v>112</v>
      </c>
      <c r="E270" s="74"/>
      <c r="F270" s="77">
        <f>F269+F268</f>
        <v>1214.356</v>
      </c>
    </row>
    <row r="271" spans="1:9" s="316" customFormat="1" ht="15.75" thickBot="1">
      <c r="A271" s="360"/>
      <c r="B271" s="360"/>
      <c r="C271" s="360"/>
      <c r="D271" s="360"/>
      <c r="E271" s="360"/>
      <c r="F271" s="360"/>
    </row>
    <row r="272" spans="1:9" s="316" customFormat="1" ht="90" customHeight="1">
      <c r="A272" s="146" t="str">
        <f>'ANEXO V- Planilha Orçamentária'!B87</f>
        <v>MDF-Man-0062/17</v>
      </c>
      <c r="B272" s="361" t="s">
        <v>475</v>
      </c>
      <c r="C272" s="318" t="s">
        <v>641</v>
      </c>
      <c r="D272" s="176"/>
      <c r="E272" s="164" t="s">
        <v>229</v>
      </c>
      <c r="F272" s="165">
        <f>F277</f>
        <v>1277.2760000000001</v>
      </c>
      <c r="I272" s="344" t="e">
        <f>F272+F265+F258+F248+#REF!+#REF!+#REF!+#REF!+#REF!+#REF!+#REF!+#REF!+#REF!+#REF!+#REF!+F150+F119+F101+#REF!+F135+F86+F70+F52</f>
        <v>#REF!</v>
      </c>
    </row>
    <row r="273" spans="1:9" s="316" customFormat="1">
      <c r="A273" s="332" t="s">
        <v>254</v>
      </c>
      <c r="B273" s="333" t="s">
        <v>601</v>
      </c>
      <c r="C273" s="334"/>
      <c r="D273" s="335"/>
      <c r="E273" s="336" t="s">
        <v>228</v>
      </c>
      <c r="F273" s="337" t="s">
        <v>235</v>
      </c>
    </row>
    <row r="274" spans="1:9" s="316" customFormat="1">
      <c r="A274" s="155"/>
      <c r="B274" s="290"/>
      <c r="C274" s="156"/>
      <c r="D274" s="70" t="s">
        <v>111</v>
      </c>
      <c r="E274" s="70"/>
      <c r="F274" s="75">
        <v>1015</v>
      </c>
    </row>
    <row r="275" spans="1:9" s="316" customFormat="1">
      <c r="A275" s="155"/>
      <c r="B275" s="290"/>
      <c r="C275" s="156"/>
      <c r="D275" s="72" t="s">
        <v>266</v>
      </c>
      <c r="E275" s="72"/>
      <c r="F275" s="76">
        <v>1015</v>
      </c>
    </row>
    <row r="276" spans="1:9" s="316" customFormat="1">
      <c r="A276" s="155"/>
      <c r="B276" s="290"/>
      <c r="C276" s="156"/>
      <c r="D276" s="156" t="s">
        <v>243</v>
      </c>
      <c r="E276" s="163">
        <v>0.25840000000000002</v>
      </c>
      <c r="F276" s="76">
        <f>F275*E276</f>
        <v>262.27600000000001</v>
      </c>
    </row>
    <row r="277" spans="1:9" s="316" customFormat="1">
      <c r="A277" s="155"/>
      <c r="B277" s="290"/>
      <c r="C277" s="156"/>
      <c r="D277" s="73" t="s">
        <v>112</v>
      </c>
      <c r="E277" s="74"/>
      <c r="F277" s="77">
        <f>F276+F275</f>
        <v>1277.2760000000001</v>
      </c>
    </row>
    <row r="278" spans="1:9" s="316" customFormat="1" ht="15.75" thickBot="1">
      <c r="A278" s="360"/>
      <c r="B278" s="360"/>
      <c r="C278" s="360"/>
      <c r="D278" s="360"/>
      <c r="E278" s="360"/>
      <c r="F278" s="360"/>
    </row>
    <row r="279" spans="1:9" s="316" customFormat="1" ht="90" customHeight="1">
      <c r="A279" s="146" t="str">
        <f>'ANEXO V- Planilha Orçamentária'!B88</f>
        <v>MDF-Man-0063/17</v>
      </c>
      <c r="B279" s="361" t="s">
        <v>476</v>
      </c>
      <c r="C279" s="318" t="s">
        <v>641</v>
      </c>
      <c r="D279" s="176"/>
      <c r="E279" s="164" t="s">
        <v>229</v>
      </c>
      <c r="F279" s="165">
        <f>F284</f>
        <v>2007.1480000000001</v>
      </c>
      <c r="I279" s="344" t="e">
        <f>F279+F272+F265+F255+#REF!+#REF!+#REF!+#REF!+F204+F163+#REF!+#REF!+#REF!+#REF!+#REF!+#REF!+F152+#REF!+F103+#REF!+F131+F121+F71</f>
        <v>#REF!</v>
      </c>
    </row>
    <row r="280" spans="1:9" s="316" customFormat="1">
      <c r="A280" s="332" t="s">
        <v>254</v>
      </c>
      <c r="B280" s="333" t="s">
        <v>601</v>
      </c>
      <c r="C280" s="334"/>
      <c r="D280" s="335"/>
      <c r="E280" s="336" t="s">
        <v>228</v>
      </c>
      <c r="F280" s="337" t="s">
        <v>235</v>
      </c>
    </row>
    <row r="281" spans="1:9" s="316" customFormat="1">
      <c r="A281" s="155"/>
      <c r="B281" s="290"/>
      <c r="C281" s="156"/>
      <c r="D281" s="70" t="s">
        <v>111</v>
      </c>
      <c r="E281" s="70"/>
      <c r="F281" s="75">
        <v>1595</v>
      </c>
      <c r="G281" s="11"/>
    </row>
    <row r="282" spans="1:9" s="316" customFormat="1">
      <c r="A282" s="155"/>
      <c r="B282" s="290"/>
      <c r="C282" s="156"/>
      <c r="D282" s="72" t="s">
        <v>266</v>
      </c>
      <c r="E282" s="72"/>
      <c r="F282" s="76">
        <v>1595</v>
      </c>
    </row>
    <row r="283" spans="1:9" s="316" customFormat="1">
      <c r="A283" s="155"/>
      <c r="B283" s="290"/>
      <c r="C283" s="156"/>
      <c r="D283" s="156" t="s">
        <v>243</v>
      </c>
      <c r="E283" s="163">
        <v>0.25840000000000002</v>
      </c>
      <c r="F283" s="76">
        <f>F282*E283</f>
        <v>412.14800000000002</v>
      </c>
    </row>
    <row r="284" spans="1:9" s="316" customFormat="1">
      <c r="A284" s="155"/>
      <c r="B284" s="290"/>
      <c r="C284" s="156"/>
      <c r="D284" s="73" t="s">
        <v>112</v>
      </c>
      <c r="E284" s="74"/>
      <c r="F284" s="77">
        <f>F283+F282</f>
        <v>2007.1480000000001</v>
      </c>
    </row>
    <row r="285" spans="1:9" s="316" customFormat="1" ht="15.75" thickBot="1">
      <c r="A285" s="360"/>
      <c r="B285" s="360"/>
      <c r="C285" s="360"/>
      <c r="D285" s="360"/>
      <c r="E285" s="360"/>
      <c r="F285" s="360"/>
    </row>
    <row r="286" spans="1:9" s="316" customFormat="1" ht="90" customHeight="1">
      <c r="A286" s="146" t="str">
        <f>'ANEXO V- Planilha Orçamentária'!B107</f>
        <v>MDF-Man-0080/17</v>
      </c>
      <c r="B286" s="361" t="s">
        <v>567</v>
      </c>
      <c r="C286" s="318" t="s">
        <v>641</v>
      </c>
      <c r="D286" s="176"/>
      <c r="E286" s="164" t="s">
        <v>229</v>
      </c>
      <c r="F286" s="165">
        <f>F291</f>
        <v>585.15599999999995</v>
      </c>
      <c r="I286" s="344"/>
    </row>
    <row r="287" spans="1:9" s="316" customFormat="1">
      <c r="A287" s="332" t="s">
        <v>254</v>
      </c>
      <c r="B287" s="333" t="s">
        <v>601</v>
      </c>
      <c r="C287" s="334"/>
      <c r="D287" s="335"/>
      <c r="E287" s="336" t="s">
        <v>228</v>
      </c>
      <c r="F287" s="337" t="s">
        <v>235</v>
      </c>
    </row>
    <row r="288" spans="1:9" s="316" customFormat="1">
      <c r="A288" s="155"/>
      <c r="B288" s="290"/>
      <c r="C288" s="156"/>
      <c r="D288" s="70" t="s">
        <v>111</v>
      </c>
      <c r="E288" s="70"/>
      <c r="F288" s="75">
        <v>465</v>
      </c>
      <c r="G288" s="11"/>
    </row>
    <row r="289" spans="1:6" s="316" customFormat="1">
      <c r="A289" s="155"/>
      <c r="B289" s="290"/>
      <c r="C289" s="156"/>
      <c r="D289" s="72" t="s">
        <v>266</v>
      </c>
      <c r="E289" s="72"/>
      <c r="F289" s="76">
        <v>465</v>
      </c>
    </row>
    <row r="290" spans="1:6" s="316" customFormat="1">
      <c r="A290" s="155"/>
      <c r="B290" s="290"/>
      <c r="C290" s="156"/>
      <c r="D290" s="156" t="s">
        <v>243</v>
      </c>
      <c r="E290" s="163">
        <v>0.25840000000000002</v>
      </c>
      <c r="F290" s="76">
        <f>F289*E290</f>
        <v>120.15600000000001</v>
      </c>
    </row>
    <row r="291" spans="1:6" s="316" customFormat="1">
      <c r="A291" s="155"/>
      <c r="B291" s="290"/>
      <c r="C291" s="156"/>
      <c r="D291" s="73" t="s">
        <v>112</v>
      </c>
      <c r="E291" s="74"/>
      <c r="F291" s="77">
        <f>F290+F289</f>
        <v>585.15599999999995</v>
      </c>
    </row>
    <row r="292" spans="1:6" s="316" customFormat="1">
      <c r="A292" s="538"/>
      <c r="B292" s="538"/>
      <c r="C292" s="538"/>
      <c r="D292" s="538"/>
      <c r="E292" s="538"/>
      <c r="F292" s="538"/>
    </row>
  </sheetData>
  <autoFilter ref="E1:E482"/>
  <mergeCells count="31">
    <mergeCell ref="A250:F250"/>
    <mergeCell ref="A162:F162"/>
    <mergeCell ref="A229:F229"/>
    <mergeCell ref="A170:B172"/>
    <mergeCell ref="A222:F222"/>
    <mergeCell ref="A194:F194"/>
    <mergeCell ref="A212:B214"/>
    <mergeCell ref="C195:D195"/>
    <mergeCell ref="A204:F204"/>
    <mergeCell ref="C174:D174"/>
    <mergeCell ref="A183:F183"/>
    <mergeCell ref="A191:B193"/>
    <mergeCell ref="C131:D131"/>
    <mergeCell ref="A120:F120"/>
    <mergeCell ref="A130:F130"/>
    <mergeCell ref="A151:F151"/>
    <mergeCell ref="A243:F243"/>
    <mergeCell ref="A215:F215"/>
    <mergeCell ref="A236:F236"/>
    <mergeCell ref="C2:D2"/>
    <mergeCell ref="A9:B9"/>
    <mergeCell ref="A18:B18"/>
    <mergeCell ref="C105:D105"/>
    <mergeCell ref="A19:F19"/>
    <mergeCell ref="A104:F104"/>
    <mergeCell ref="A71:F71"/>
    <mergeCell ref="A35:F35"/>
    <mergeCell ref="A36:F36"/>
    <mergeCell ref="A53:F53"/>
    <mergeCell ref="C37:D37"/>
    <mergeCell ref="C54:D54"/>
  </mergeCells>
  <pageMargins left="0.51181102362204722" right="0.31496062992125984" top="0.59055118110236227" bottom="0.59055118110236227" header="0.31496062992125984" footer="0.31496062992125984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6"/>
  <sheetViews>
    <sheetView topLeftCell="B16" zoomScale="70" zoomScaleNormal="70" workbookViewId="0">
      <selection activeCell="L5" sqref="L5"/>
    </sheetView>
  </sheetViews>
  <sheetFormatPr defaultRowHeight="15"/>
  <cols>
    <col min="1" max="1" width="15.28515625" customWidth="1"/>
    <col min="2" max="2" width="40" customWidth="1"/>
    <col min="3" max="3" width="4.85546875" customWidth="1"/>
    <col min="4" max="4" width="12.7109375" style="316" customWidth="1"/>
    <col min="5" max="5" width="10.85546875" style="316" customWidth="1"/>
    <col min="6" max="6" width="15" style="316" customWidth="1"/>
    <col min="7" max="7" width="10.7109375" customWidth="1"/>
    <col min="8" max="8" width="17.140625" customWidth="1"/>
    <col min="9" max="9" width="12.28515625" customWidth="1"/>
    <col min="10" max="10" width="14.42578125" customWidth="1"/>
    <col min="11" max="11" width="15.85546875" customWidth="1"/>
    <col min="12" max="12" width="15.140625" customWidth="1"/>
    <col min="13" max="13" width="15.85546875" customWidth="1"/>
    <col min="14" max="14" width="14.28515625" customWidth="1"/>
    <col min="15" max="15" width="14.42578125" customWidth="1"/>
    <col min="16" max="16" width="17" customWidth="1"/>
    <col min="17" max="17" width="17.7109375" customWidth="1"/>
    <col min="18" max="18" width="16" customWidth="1"/>
  </cols>
  <sheetData>
    <row r="1" spans="1:18" s="316" customFormat="1" ht="15.75" thickBot="1">
      <c r="N1" s="487"/>
    </row>
    <row r="2" spans="1:18" s="316" customFormat="1" ht="88.5" customHeight="1" thickBot="1">
      <c r="A2" s="916"/>
      <c r="B2" s="917"/>
      <c r="C2" s="917"/>
      <c r="D2" s="917"/>
      <c r="E2" s="917"/>
      <c r="F2" s="917"/>
      <c r="G2" s="917"/>
      <c r="H2" s="917"/>
      <c r="I2" s="917"/>
      <c r="J2" s="917"/>
      <c r="K2" s="917"/>
      <c r="L2" s="917"/>
      <c r="M2" s="917"/>
      <c r="N2" s="917"/>
      <c r="O2" s="917"/>
      <c r="P2" s="917"/>
      <c r="Q2" s="917"/>
      <c r="R2" s="918"/>
    </row>
    <row r="3" spans="1:18" s="316" customFormat="1" ht="21" customHeight="1" thickBot="1">
      <c r="A3" s="567"/>
      <c r="B3" s="567"/>
      <c r="C3" s="568"/>
      <c r="D3" s="567"/>
      <c r="E3" s="567"/>
      <c r="F3" s="567"/>
      <c r="G3" s="567"/>
      <c r="H3" s="567"/>
      <c r="I3" s="567"/>
      <c r="J3" s="922" t="s">
        <v>576</v>
      </c>
      <c r="K3" s="923"/>
      <c r="L3" s="924"/>
      <c r="M3" s="922" t="s">
        <v>577</v>
      </c>
      <c r="N3" s="923"/>
      <c r="O3" s="924"/>
      <c r="P3" s="922" t="s">
        <v>575</v>
      </c>
      <c r="Q3" s="923"/>
      <c r="R3" s="924"/>
    </row>
    <row r="4" spans="1:18" s="316" customFormat="1" ht="120" customHeight="1" thickBot="1">
      <c r="A4" s="566" t="s">
        <v>569</v>
      </c>
      <c r="B4" s="569" t="s">
        <v>325</v>
      </c>
      <c r="C4" s="570" t="s">
        <v>7</v>
      </c>
      <c r="D4" s="570" t="s">
        <v>578</v>
      </c>
      <c r="E4" s="570" t="s">
        <v>568</v>
      </c>
      <c r="F4" s="578" t="s">
        <v>818</v>
      </c>
      <c r="G4" s="570" t="s">
        <v>581</v>
      </c>
      <c r="H4" s="570" t="s">
        <v>629</v>
      </c>
      <c r="I4" s="570" t="s">
        <v>570</v>
      </c>
      <c r="J4" s="570" t="s">
        <v>571</v>
      </c>
      <c r="K4" s="570" t="s">
        <v>572</v>
      </c>
      <c r="L4" s="570" t="s">
        <v>620</v>
      </c>
      <c r="M4" s="571" t="s">
        <v>573</v>
      </c>
      <c r="N4" s="570" t="s">
        <v>574</v>
      </c>
      <c r="O4" s="570" t="s">
        <v>622</v>
      </c>
      <c r="P4" s="570" t="s">
        <v>560</v>
      </c>
      <c r="Q4" s="570" t="s">
        <v>561</v>
      </c>
      <c r="R4" s="579" t="s">
        <v>623</v>
      </c>
    </row>
    <row r="5" spans="1:18" s="544" customFormat="1" ht="34.5" customHeight="1">
      <c r="A5" s="593" t="s">
        <v>621</v>
      </c>
      <c r="B5" s="765" t="s">
        <v>557</v>
      </c>
      <c r="C5" s="594" t="s">
        <v>118</v>
      </c>
      <c r="D5" s="595">
        <v>79.58</v>
      </c>
      <c r="E5" s="596">
        <f>D5/1.852</f>
        <v>42.969762419006479</v>
      </c>
      <c r="F5" s="595">
        <v>0.85</v>
      </c>
      <c r="G5" s="595">
        <f>E5+F5</f>
        <v>43.81976241900648</v>
      </c>
      <c r="H5" s="594">
        <v>90778</v>
      </c>
      <c r="I5" s="597">
        <v>5.7000000000000002E-3</v>
      </c>
      <c r="J5" s="599"/>
      <c r="K5" s="599"/>
      <c r="L5" s="599">
        <v>1.1668000000000001</v>
      </c>
      <c r="M5" s="598"/>
      <c r="N5" s="597"/>
      <c r="O5" s="597">
        <f>I5+L5</f>
        <v>1.1725000000000001</v>
      </c>
      <c r="P5" s="600"/>
      <c r="Q5" s="600"/>
      <c r="R5" s="601">
        <f>G5+(G5*O5)</f>
        <v>95.198433855291583</v>
      </c>
    </row>
    <row r="6" spans="1:18" s="544" customFormat="1" ht="34.5" customHeight="1">
      <c r="A6" s="616" t="s">
        <v>632</v>
      </c>
      <c r="B6" s="766" t="s">
        <v>559</v>
      </c>
      <c r="C6" s="539" t="s">
        <v>118</v>
      </c>
      <c r="D6" s="540"/>
      <c r="E6" s="545">
        <f>1124.23/220</f>
        <v>5.1101363636363635</v>
      </c>
      <c r="F6" s="614">
        <v>0</v>
      </c>
      <c r="G6" s="540">
        <f t="shared" ref="G6:G13" si="0">E6+F6</f>
        <v>5.1101363636363635</v>
      </c>
      <c r="H6" s="539">
        <v>90772</v>
      </c>
      <c r="I6" s="541">
        <v>0.20710000000000001</v>
      </c>
      <c r="J6" s="550"/>
      <c r="K6" s="550"/>
      <c r="L6" s="550">
        <v>0.49519999999999997</v>
      </c>
      <c r="M6" s="543"/>
      <c r="N6" s="542"/>
      <c r="O6" s="542">
        <f>I6+L6</f>
        <v>0.70229999999999992</v>
      </c>
      <c r="P6" s="549"/>
      <c r="Q6" s="549"/>
      <c r="R6" s="581">
        <f>G6+(G6*O6)</f>
        <v>8.6989851318181817</v>
      </c>
    </row>
    <row r="7" spans="1:18" s="544" customFormat="1" ht="34.5" customHeight="1">
      <c r="A7" s="580" t="s">
        <v>13</v>
      </c>
      <c r="B7" s="766" t="s">
        <v>558</v>
      </c>
      <c r="C7" s="539" t="s">
        <v>118</v>
      </c>
      <c r="D7" s="540">
        <v>12.77</v>
      </c>
      <c r="E7" s="545">
        <f>D7/1.852</f>
        <v>6.8952483801295887</v>
      </c>
      <c r="F7" s="614">
        <v>0.85</v>
      </c>
      <c r="G7" s="540">
        <f t="shared" si="0"/>
        <v>7.7452483801295884</v>
      </c>
      <c r="H7" s="539">
        <v>88264</v>
      </c>
      <c r="I7" s="541">
        <v>0.2545</v>
      </c>
      <c r="J7" s="550"/>
      <c r="K7" s="550"/>
      <c r="L7" s="550">
        <v>0.49519999999999997</v>
      </c>
      <c r="M7" s="543"/>
      <c r="N7" s="542"/>
      <c r="O7" s="542">
        <f t="shared" ref="O7" si="1">I7+L7</f>
        <v>0.74970000000000003</v>
      </c>
      <c r="P7" s="549"/>
      <c r="Q7" s="549"/>
      <c r="R7" s="581">
        <f>G7+(G7*O7)</f>
        <v>13.551861090712741</v>
      </c>
    </row>
    <row r="8" spans="1:18" s="544" customFormat="1" ht="34.5" customHeight="1">
      <c r="A8" s="580" t="s">
        <v>563</v>
      </c>
      <c r="B8" s="766" t="s">
        <v>626</v>
      </c>
      <c r="C8" s="539" t="s">
        <v>118</v>
      </c>
      <c r="D8" s="540">
        <v>12.35</v>
      </c>
      <c r="E8" s="545">
        <f>D8/1.852</f>
        <v>6.6684665226781856</v>
      </c>
      <c r="F8" s="614">
        <v>0.85</v>
      </c>
      <c r="G8" s="540">
        <f t="shared" si="0"/>
        <v>7.5184665226781853</v>
      </c>
      <c r="H8" s="539">
        <v>88297</v>
      </c>
      <c r="I8" s="541">
        <v>0.26090000000000002</v>
      </c>
      <c r="J8" s="550"/>
      <c r="K8" s="550"/>
      <c r="L8" s="550">
        <v>0.49519999999999997</v>
      </c>
      <c r="M8" s="543"/>
      <c r="N8" s="542"/>
      <c r="O8" s="542">
        <f>I8+L8</f>
        <v>0.75609999999999999</v>
      </c>
      <c r="P8" s="549"/>
      <c r="Q8" s="549"/>
      <c r="R8" s="581">
        <f>G8+(G8*O8)</f>
        <v>13.203179060475161</v>
      </c>
    </row>
    <row r="9" spans="1:18" s="544" customFormat="1" ht="34.5" customHeight="1">
      <c r="A9" s="616" t="s">
        <v>633</v>
      </c>
      <c r="B9" s="766" t="s">
        <v>634</v>
      </c>
      <c r="C9" s="539" t="s">
        <v>118</v>
      </c>
      <c r="D9" s="540"/>
      <c r="E9" s="545">
        <v>5.1100000000000003</v>
      </c>
      <c r="F9" s="614">
        <v>0.85</v>
      </c>
      <c r="G9" s="540">
        <f t="shared" si="0"/>
        <v>5.96</v>
      </c>
      <c r="H9" s="546">
        <v>88241</v>
      </c>
      <c r="I9" s="542">
        <v>0.3256</v>
      </c>
      <c r="J9" s="550"/>
      <c r="K9" s="550"/>
      <c r="L9" s="550">
        <v>0.49519999999999997</v>
      </c>
      <c r="M9" s="543"/>
      <c r="N9" s="542"/>
      <c r="O9" s="542">
        <f>I9+L9</f>
        <v>0.82079999999999997</v>
      </c>
      <c r="P9" s="549"/>
      <c r="Q9" s="549"/>
      <c r="R9" s="581">
        <f>G9+(G9*O9)</f>
        <v>10.851967999999999</v>
      </c>
    </row>
    <row r="10" spans="1:18" s="544" customFormat="1" ht="34.5" customHeight="1">
      <c r="A10" s="582" t="s">
        <v>632</v>
      </c>
      <c r="B10" s="766" t="s">
        <v>627</v>
      </c>
      <c r="C10" s="539" t="s">
        <v>118</v>
      </c>
      <c r="D10" s="545"/>
      <c r="E10" s="545">
        <f>2342.15/220</f>
        <v>10.646136363636364</v>
      </c>
      <c r="F10" s="614">
        <v>0.85</v>
      </c>
      <c r="G10" s="540">
        <f t="shared" si="0"/>
        <v>11.496136363636364</v>
      </c>
      <c r="H10" s="539">
        <v>88321</v>
      </c>
      <c r="I10" s="541">
        <v>0.17960000000000001</v>
      </c>
      <c r="J10" s="550">
        <v>0.59970000000000001</v>
      </c>
      <c r="K10" s="550"/>
      <c r="L10" s="551"/>
      <c r="M10" s="547">
        <f>J10+I10</f>
        <v>0.77929999999999999</v>
      </c>
      <c r="N10" s="542"/>
      <c r="O10" s="541"/>
      <c r="P10" s="768">
        <f>G10+(G10*M10)</f>
        <v>20.45507543181818</v>
      </c>
      <c r="Q10" s="768"/>
      <c r="R10" s="583"/>
    </row>
    <row r="11" spans="1:18" s="544" customFormat="1" ht="34.5" customHeight="1">
      <c r="A11" s="616" t="s">
        <v>632</v>
      </c>
      <c r="B11" s="766" t="s">
        <v>630</v>
      </c>
      <c r="C11" s="539" t="s">
        <v>118</v>
      </c>
      <c r="D11" s="540"/>
      <c r="E11" s="540">
        <f>1124.23/220</f>
        <v>5.1101363636363635</v>
      </c>
      <c r="F11" s="614">
        <v>0.85</v>
      </c>
      <c r="G11" s="540">
        <f t="shared" si="0"/>
        <v>5.9601363636363631</v>
      </c>
      <c r="H11" s="546">
        <v>88241</v>
      </c>
      <c r="I11" s="542">
        <v>0.3256</v>
      </c>
      <c r="J11" s="550">
        <v>0.59970000000000001</v>
      </c>
      <c r="K11" s="550"/>
      <c r="L11" s="550"/>
      <c r="M11" s="543">
        <f>I11+J11</f>
        <v>0.92530000000000001</v>
      </c>
      <c r="N11" s="542"/>
      <c r="O11" s="542"/>
      <c r="P11" s="549">
        <f>G11+(G11*M11)</f>
        <v>11.475050540909091</v>
      </c>
      <c r="Q11" s="549"/>
      <c r="R11" s="581"/>
    </row>
    <row r="12" spans="1:18" s="544" customFormat="1" ht="34.5" customHeight="1">
      <c r="A12" s="582" t="s">
        <v>633</v>
      </c>
      <c r="B12" s="766" t="s">
        <v>628</v>
      </c>
      <c r="C12" s="539" t="s">
        <v>118</v>
      </c>
      <c r="D12" s="545"/>
      <c r="E12" s="545">
        <f>2342.15/220</f>
        <v>10.646136363636364</v>
      </c>
      <c r="F12" s="614">
        <v>0.85</v>
      </c>
      <c r="G12" s="540">
        <f t="shared" si="0"/>
        <v>11.496136363636364</v>
      </c>
      <c r="H12" s="539">
        <v>88321</v>
      </c>
      <c r="I12" s="541">
        <v>0.17960000000000001</v>
      </c>
      <c r="J12" s="550"/>
      <c r="K12" s="550">
        <v>1.0649</v>
      </c>
      <c r="L12" s="551"/>
      <c r="M12" s="547"/>
      <c r="N12" s="542">
        <f>I12+K12</f>
        <v>1.2444999999999999</v>
      </c>
      <c r="O12" s="541"/>
      <c r="P12" s="768"/>
      <c r="Q12" s="768">
        <f>G12+(G12*N12)</f>
        <v>25.803078068181819</v>
      </c>
      <c r="R12" s="583"/>
    </row>
    <row r="13" spans="1:18" s="544" customFormat="1" ht="34.5" customHeight="1" thickBot="1">
      <c r="A13" s="617" t="s">
        <v>633</v>
      </c>
      <c r="B13" s="767" t="s">
        <v>631</v>
      </c>
      <c r="C13" s="572" t="s">
        <v>118</v>
      </c>
      <c r="D13" s="573"/>
      <c r="E13" s="573">
        <f>1124.23/220</f>
        <v>5.1101363636363635</v>
      </c>
      <c r="F13" s="615">
        <v>0.85</v>
      </c>
      <c r="G13" s="573">
        <f t="shared" si="0"/>
        <v>5.9601363636363631</v>
      </c>
      <c r="H13" s="574">
        <v>88241</v>
      </c>
      <c r="I13" s="575">
        <v>0.3256</v>
      </c>
      <c r="J13" s="576"/>
      <c r="K13" s="576">
        <v>1.0649</v>
      </c>
      <c r="L13" s="576"/>
      <c r="M13" s="577"/>
      <c r="N13" s="575">
        <f>I13+K13</f>
        <v>1.3904999999999998</v>
      </c>
      <c r="O13" s="575"/>
      <c r="P13" s="769"/>
      <c r="Q13" s="769">
        <f>G13+(G13*N13)</f>
        <v>14.247705977272727</v>
      </c>
      <c r="R13" s="584"/>
    </row>
    <row r="15" spans="1:18" ht="24" customHeight="1" thickBot="1">
      <c r="A15" s="537" t="s">
        <v>548</v>
      </c>
      <c r="B15" s="316"/>
      <c r="C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6"/>
    </row>
    <row r="16" spans="1:18" s="548" customFormat="1" ht="160.5" customHeight="1" thickBot="1">
      <c r="A16" s="919" t="s">
        <v>841</v>
      </c>
      <c r="B16" s="920"/>
      <c r="C16" s="920"/>
      <c r="D16" s="920"/>
      <c r="E16" s="920"/>
      <c r="F16" s="920"/>
      <c r="G16" s="920"/>
      <c r="H16" s="920"/>
      <c r="I16" s="920"/>
      <c r="J16" s="920"/>
      <c r="K16" s="920"/>
      <c r="L16" s="920"/>
      <c r="M16" s="920"/>
      <c r="N16" s="920"/>
      <c r="O16" s="920"/>
      <c r="P16" s="920"/>
      <c r="Q16" s="920"/>
      <c r="R16" s="921"/>
    </row>
  </sheetData>
  <mergeCells count="5">
    <mergeCell ref="A2:R2"/>
    <mergeCell ref="A16:R16"/>
    <mergeCell ref="J3:L3"/>
    <mergeCell ref="M3:O3"/>
    <mergeCell ref="P3:R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0"/>
  <sheetViews>
    <sheetView view="pageBreakPreview" zoomScaleNormal="100" zoomScaleSheetLayoutView="100" workbookViewId="0">
      <selection activeCell="K31" sqref="K31"/>
    </sheetView>
  </sheetViews>
  <sheetFormatPr defaultRowHeight="15"/>
  <cols>
    <col min="1" max="1" width="73.85546875" customWidth="1"/>
    <col min="3" max="3" width="14.140625" customWidth="1"/>
    <col min="4" max="4" width="12.140625" customWidth="1"/>
    <col min="5" max="5" width="11.85546875" customWidth="1"/>
    <col min="6" max="6" width="9.5703125" customWidth="1"/>
  </cols>
  <sheetData>
    <row r="1" spans="1:6" s="618" customFormat="1" ht="22.5" customHeight="1">
      <c r="A1" s="926"/>
      <c r="B1" s="927"/>
      <c r="C1" s="927"/>
      <c r="D1" s="927"/>
      <c r="E1" s="927"/>
      <c r="F1" s="928"/>
    </row>
    <row r="2" spans="1:6" s="618" customFormat="1">
      <c r="A2" s="929"/>
      <c r="B2" s="930"/>
      <c r="C2" s="930"/>
      <c r="D2" s="930"/>
      <c r="E2" s="930"/>
      <c r="F2" s="931"/>
    </row>
    <row r="3" spans="1:6" s="618" customFormat="1">
      <c r="A3" s="929"/>
      <c r="B3" s="930"/>
      <c r="C3" s="930"/>
      <c r="D3" s="930"/>
      <c r="E3" s="930"/>
      <c r="F3" s="931"/>
    </row>
    <row r="4" spans="1:6" s="618" customFormat="1">
      <c r="A4" s="929"/>
      <c r="B4" s="930"/>
      <c r="C4" s="930"/>
      <c r="D4" s="930"/>
      <c r="E4" s="930"/>
      <c r="F4" s="931"/>
    </row>
    <row r="5" spans="1:6" s="618" customFormat="1" ht="24.75" customHeight="1">
      <c r="A5" s="932"/>
      <c r="B5" s="933"/>
      <c r="C5" s="933"/>
      <c r="D5" s="933"/>
      <c r="E5" s="933"/>
      <c r="F5" s="934"/>
    </row>
    <row r="6" spans="1:6" s="618" customFormat="1" ht="24.75" customHeight="1">
      <c r="A6" s="677" t="s">
        <v>826</v>
      </c>
      <c r="B6" s="676"/>
      <c r="C6" s="676"/>
      <c r="D6" s="676"/>
      <c r="E6" s="676"/>
      <c r="F6" s="676"/>
    </row>
    <row r="7" spans="1:6">
      <c r="A7" s="53" t="s">
        <v>825</v>
      </c>
      <c r="B7" s="53"/>
      <c r="C7" s="53"/>
      <c r="D7" s="53"/>
      <c r="E7" s="53"/>
      <c r="F7" s="53"/>
    </row>
    <row r="8" spans="1:6">
      <c r="A8" s="53" t="s">
        <v>824</v>
      </c>
      <c r="B8" s="53"/>
      <c r="C8" s="53"/>
      <c r="D8" s="53"/>
      <c r="E8" s="53"/>
      <c r="F8" s="53"/>
    </row>
    <row r="9" spans="1:6">
      <c r="A9" s="53" t="s">
        <v>642</v>
      </c>
      <c r="B9" s="53"/>
      <c r="C9" s="53"/>
      <c r="D9" s="53"/>
      <c r="E9" s="53"/>
      <c r="F9" s="53"/>
    </row>
    <row r="10" spans="1:6">
      <c r="A10" s="53"/>
      <c r="B10" s="53"/>
      <c r="C10" s="53"/>
      <c r="D10" s="53"/>
      <c r="E10" s="53"/>
      <c r="F10" s="53"/>
    </row>
    <row r="11" spans="1:6">
      <c r="A11" s="53"/>
      <c r="B11" s="53"/>
      <c r="C11" s="53"/>
      <c r="D11" s="53"/>
      <c r="E11" s="53"/>
      <c r="F11" s="53"/>
    </row>
    <row r="12" spans="1:6">
      <c r="A12" s="925" t="s">
        <v>643</v>
      </c>
      <c r="B12" s="925"/>
      <c r="C12" s="925"/>
      <c r="D12" s="925"/>
      <c r="E12" s="925"/>
      <c r="F12" s="709"/>
    </row>
    <row r="13" spans="1:6" ht="30">
      <c r="A13" s="740" t="s">
        <v>5</v>
      </c>
      <c r="B13" s="740" t="s">
        <v>829</v>
      </c>
      <c r="C13" s="741" t="s">
        <v>830</v>
      </c>
      <c r="D13" s="740" t="s">
        <v>831</v>
      </c>
      <c r="E13" s="740" t="s">
        <v>832</v>
      </c>
      <c r="F13" s="740" t="s">
        <v>833</v>
      </c>
    </row>
    <row r="14" spans="1:6">
      <c r="A14" s="710" t="s">
        <v>644</v>
      </c>
      <c r="B14" s="711" t="s">
        <v>645</v>
      </c>
      <c r="C14" s="711" t="s">
        <v>646</v>
      </c>
      <c r="D14" s="711">
        <v>0.05</v>
      </c>
      <c r="E14" s="711">
        <v>0.89</v>
      </c>
      <c r="F14" s="712">
        <v>4.4500000000000005E-2</v>
      </c>
    </row>
    <row r="15" spans="1:6">
      <c r="A15" s="694" t="s">
        <v>647</v>
      </c>
      <c r="B15" s="695" t="s">
        <v>645</v>
      </c>
      <c r="C15" s="695" t="s">
        <v>646</v>
      </c>
      <c r="D15" s="695">
        <v>1</v>
      </c>
      <c r="E15" s="695">
        <v>79.3</v>
      </c>
      <c r="F15" s="696">
        <v>79.3</v>
      </c>
    </row>
    <row r="16" spans="1:6">
      <c r="A16" s="694" t="s">
        <v>648</v>
      </c>
      <c r="B16" s="695" t="s">
        <v>645</v>
      </c>
      <c r="C16" s="695" t="s">
        <v>649</v>
      </c>
      <c r="D16" s="695">
        <v>1</v>
      </c>
      <c r="E16" s="695">
        <v>0.34</v>
      </c>
      <c r="F16" s="696">
        <v>0.34</v>
      </c>
    </row>
    <row r="17" spans="1:10">
      <c r="A17" s="694" t="s">
        <v>650</v>
      </c>
      <c r="B17" s="695" t="s">
        <v>645</v>
      </c>
      <c r="C17" s="695" t="s">
        <v>649</v>
      </c>
      <c r="D17" s="695">
        <v>1</v>
      </c>
      <c r="E17" s="695">
        <v>7.0000000000000007E-2</v>
      </c>
      <c r="F17" s="696">
        <v>7.0000000000000007E-2</v>
      </c>
    </row>
    <row r="18" spans="1:10">
      <c r="A18" s="697" t="s">
        <v>834</v>
      </c>
      <c r="B18" s="695"/>
      <c r="C18" s="698"/>
      <c r="D18" s="695">
        <v>79.3</v>
      </c>
      <c r="E18" s="699">
        <v>99.430126199775572</v>
      </c>
      <c r="F18" s="700" t="s">
        <v>656</v>
      </c>
    </row>
    <row r="19" spans="1:10">
      <c r="A19" s="714" t="s">
        <v>836</v>
      </c>
      <c r="B19" s="695"/>
      <c r="C19" s="698"/>
      <c r="D19" s="715">
        <v>0.45450000000000002</v>
      </c>
      <c r="E19" s="701">
        <v>0.56987380022443879</v>
      </c>
      <c r="F19" s="702" t="s">
        <v>656</v>
      </c>
    </row>
    <row r="20" spans="1:10">
      <c r="A20" s="703" t="s">
        <v>835</v>
      </c>
      <c r="B20" s="704"/>
      <c r="C20" s="705"/>
      <c r="D20" s="706">
        <v>79.754499999999993</v>
      </c>
      <c r="E20" s="707">
        <v>100.00000000000001</v>
      </c>
      <c r="F20" s="708" t="s">
        <v>656</v>
      </c>
    </row>
    <row r="21" spans="1:10">
      <c r="A21" s="53"/>
      <c r="B21" s="53"/>
      <c r="C21" s="53"/>
      <c r="D21" s="53"/>
      <c r="E21" s="53"/>
      <c r="F21" s="53"/>
    </row>
    <row r="22" spans="1:10">
      <c r="A22" s="713" t="s">
        <v>691</v>
      </c>
      <c r="B22" s="709"/>
      <c r="C22" s="709"/>
      <c r="D22" s="709"/>
      <c r="E22" s="709"/>
      <c r="F22" s="709"/>
    </row>
    <row r="23" spans="1:10" ht="30">
      <c r="A23" s="740" t="s">
        <v>5</v>
      </c>
      <c r="B23" s="740" t="s">
        <v>829</v>
      </c>
      <c r="C23" s="741" t="s">
        <v>830</v>
      </c>
      <c r="D23" s="740" t="s">
        <v>831</v>
      </c>
      <c r="E23" s="740" t="s">
        <v>832</v>
      </c>
      <c r="F23" s="740" t="s">
        <v>833</v>
      </c>
      <c r="H23" s="763"/>
      <c r="I23" s="763"/>
    </row>
    <row r="24" spans="1:10">
      <c r="A24" s="717" t="s">
        <v>651</v>
      </c>
      <c r="B24" s="718" t="s">
        <v>645</v>
      </c>
      <c r="C24" s="718" t="s">
        <v>646</v>
      </c>
      <c r="D24" s="718">
        <v>1</v>
      </c>
      <c r="E24" s="718">
        <v>11.18</v>
      </c>
      <c r="F24" s="719">
        <v>11.18</v>
      </c>
      <c r="H24" s="619"/>
    </row>
    <row r="25" spans="1:10">
      <c r="A25" s="720" t="s">
        <v>652</v>
      </c>
      <c r="B25" s="721" t="s">
        <v>645</v>
      </c>
      <c r="C25" s="721" t="s">
        <v>649</v>
      </c>
      <c r="D25" s="721">
        <v>1</v>
      </c>
      <c r="E25" s="721">
        <v>1.62</v>
      </c>
      <c r="F25" s="722">
        <v>1.62</v>
      </c>
      <c r="H25" s="619"/>
      <c r="I25" s="618"/>
      <c r="J25" s="618"/>
    </row>
    <row r="26" spans="1:10">
      <c r="A26" s="720" t="s">
        <v>653</v>
      </c>
      <c r="B26" s="721" t="s">
        <v>645</v>
      </c>
      <c r="C26" s="721" t="s">
        <v>649</v>
      </c>
      <c r="D26" s="721">
        <v>1</v>
      </c>
      <c r="E26" s="721">
        <v>0.89</v>
      </c>
      <c r="F26" s="722">
        <v>0.89</v>
      </c>
      <c r="H26" s="619"/>
      <c r="I26" s="618"/>
      <c r="J26" s="618"/>
    </row>
    <row r="27" spans="1:10">
      <c r="A27" s="720" t="s">
        <v>654</v>
      </c>
      <c r="B27" s="721" t="s">
        <v>645</v>
      </c>
      <c r="C27" s="721" t="s">
        <v>649</v>
      </c>
      <c r="D27" s="721">
        <v>1</v>
      </c>
      <c r="E27" s="721">
        <v>0.34</v>
      </c>
      <c r="F27" s="722">
        <v>0.34</v>
      </c>
      <c r="H27" s="619"/>
      <c r="I27" s="618"/>
      <c r="J27" s="618"/>
    </row>
    <row r="28" spans="1:10">
      <c r="A28" s="720" t="s">
        <v>655</v>
      </c>
      <c r="B28" s="721" t="s">
        <v>645</v>
      </c>
      <c r="C28" s="721" t="s">
        <v>649</v>
      </c>
      <c r="D28" s="721">
        <v>1</v>
      </c>
      <c r="E28" s="721">
        <v>7.0000000000000007E-2</v>
      </c>
      <c r="F28" s="722">
        <v>7.0000000000000007E-2</v>
      </c>
      <c r="H28" s="619"/>
      <c r="I28" s="618"/>
      <c r="J28" s="618"/>
    </row>
    <row r="29" spans="1:10">
      <c r="A29" s="723" t="s">
        <v>827</v>
      </c>
      <c r="B29" s="724"/>
      <c r="C29" s="724"/>
      <c r="D29" s="721">
        <v>11.18</v>
      </c>
      <c r="E29" s="725">
        <v>79.290780141843982</v>
      </c>
      <c r="F29" s="722" t="s">
        <v>656</v>
      </c>
    </row>
    <row r="30" spans="1:10">
      <c r="A30" s="726" t="s">
        <v>836</v>
      </c>
      <c r="B30" s="727"/>
      <c r="C30" s="727"/>
      <c r="D30" s="728">
        <v>2.92</v>
      </c>
      <c r="E30" s="729">
        <v>20.709219858156029</v>
      </c>
      <c r="F30" s="730" t="s">
        <v>656</v>
      </c>
    </row>
    <row r="31" spans="1:10">
      <c r="A31" s="731" t="s">
        <v>828</v>
      </c>
      <c r="B31" s="732"/>
      <c r="C31" s="732"/>
      <c r="D31" s="733">
        <v>14.1</v>
      </c>
      <c r="E31" s="734">
        <v>100.00000000000001</v>
      </c>
      <c r="F31" s="735" t="s">
        <v>656</v>
      </c>
    </row>
    <row r="32" spans="1:10">
      <c r="A32" s="53"/>
      <c r="B32" s="53"/>
      <c r="C32" s="53"/>
      <c r="D32" s="53"/>
      <c r="E32" s="53"/>
      <c r="F32" s="53"/>
    </row>
    <row r="33" spans="1:6">
      <c r="A33" s="53"/>
      <c r="B33" s="53"/>
      <c r="C33" s="53"/>
      <c r="D33" s="53"/>
      <c r="E33" s="53"/>
      <c r="F33" s="53"/>
    </row>
    <row r="34" spans="1:6">
      <c r="A34" s="737" t="s">
        <v>657</v>
      </c>
      <c r="B34" s="738"/>
      <c r="C34" s="738"/>
      <c r="D34" s="738"/>
      <c r="E34" s="738"/>
      <c r="F34" s="739"/>
    </row>
    <row r="35" spans="1:6" ht="30" customHeight="1">
      <c r="A35" s="740" t="s">
        <v>5</v>
      </c>
      <c r="B35" s="740" t="s">
        <v>829</v>
      </c>
      <c r="C35" s="741" t="s">
        <v>830</v>
      </c>
      <c r="D35" s="740" t="s">
        <v>831</v>
      </c>
      <c r="E35" s="740" t="s">
        <v>832</v>
      </c>
      <c r="F35" s="740" t="s">
        <v>833</v>
      </c>
    </row>
    <row r="36" spans="1:6">
      <c r="A36" s="746" t="s">
        <v>658</v>
      </c>
      <c r="B36" s="747" t="s">
        <v>645</v>
      </c>
      <c r="C36" s="747" t="s">
        <v>646</v>
      </c>
      <c r="D36" s="747">
        <v>1</v>
      </c>
      <c r="E36" s="747">
        <v>0.55000000000000004</v>
      </c>
      <c r="F36" s="748">
        <v>0.55000000000000004</v>
      </c>
    </row>
    <row r="37" spans="1:6">
      <c r="A37" s="720" t="s">
        <v>659</v>
      </c>
      <c r="B37" s="721" t="s">
        <v>645</v>
      </c>
      <c r="C37" s="721" t="s">
        <v>646</v>
      </c>
      <c r="D37" s="721">
        <v>1</v>
      </c>
      <c r="E37" s="721">
        <v>0.89</v>
      </c>
      <c r="F37" s="722">
        <v>0.89</v>
      </c>
    </row>
    <row r="38" spans="1:6">
      <c r="A38" s="720" t="s">
        <v>660</v>
      </c>
      <c r="B38" s="721" t="s">
        <v>645</v>
      </c>
      <c r="C38" s="721" t="s">
        <v>649</v>
      </c>
      <c r="D38" s="721">
        <v>1</v>
      </c>
      <c r="E38" s="721">
        <v>12.77</v>
      </c>
      <c r="F38" s="722">
        <v>12.77</v>
      </c>
    </row>
    <row r="39" spans="1:6">
      <c r="A39" s="720" t="s">
        <v>661</v>
      </c>
      <c r="B39" s="721" t="s">
        <v>645</v>
      </c>
      <c r="C39" s="721" t="s">
        <v>649</v>
      </c>
      <c r="D39" s="721">
        <v>1</v>
      </c>
      <c r="E39" s="721">
        <v>1.62</v>
      </c>
      <c r="F39" s="722">
        <v>1.62</v>
      </c>
    </row>
    <row r="40" spans="1:6">
      <c r="A40" s="720" t="s">
        <v>662</v>
      </c>
      <c r="B40" s="721" t="s">
        <v>645</v>
      </c>
      <c r="C40" s="721" t="s">
        <v>649</v>
      </c>
      <c r="D40" s="721">
        <v>1</v>
      </c>
      <c r="E40" s="721">
        <v>0.89</v>
      </c>
      <c r="F40" s="722">
        <v>0.89</v>
      </c>
    </row>
    <row r="41" spans="1:6">
      <c r="A41" s="720" t="s">
        <v>663</v>
      </c>
      <c r="B41" s="721" t="s">
        <v>645</v>
      </c>
      <c r="C41" s="721" t="s">
        <v>649</v>
      </c>
      <c r="D41" s="721">
        <v>1</v>
      </c>
      <c r="E41" s="721">
        <v>0.34</v>
      </c>
      <c r="F41" s="722">
        <v>0.34</v>
      </c>
    </row>
    <row r="42" spans="1:6">
      <c r="A42" s="720" t="s">
        <v>664</v>
      </c>
      <c r="B42" s="721" t="s">
        <v>645</v>
      </c>
      <c r="C42" s="721" t="s">
        <v>649</v>
      </c>
      <c r="D42" s="721">
        <v>1</v>
      </c>
      <c r="E42" s="721">
        <v>7.0000000000000007E-2</v>
      </c>
      <c r="F42" s="722">
        <v>7.0000000000000007E-2</v>
      </c>
    </row>
    <row r="43" spans="1:6">
      <c r="A43" s="720" t="s">
        <v>837</v>
      </c>
      <c r="B43" s="724"/>
      <c r="C43" s="724"/>
      <c r="D43" s="742">
        <v>12.77</v>
      </c>
      <c r="E43" s="725">
        <v>74.547577349678932</v>
      </c>
      <c r="F43" s="722" t="s">
        <v>656</v>
      </c>
    </row>
    <row r="44" spans="1:6">
      <c r="A44" s="714" t="s">
        <v>836</v>
      </c>
      <c r="B44" s="727"/>
      <c r="C44" s="727"/>
      <c r="D44" s="762">
        <v>4.3600000000000003</v>
      </c>
      <c r="E44" s="729">
        <v>25.452422650321076</v>
      </c>
      <c r="F44" s="730" t="s">
        <v>656</v>
      </c>
    </row>
    <row r="45" spans="1:6">
      <c r="A45" s="743"/>
      <c r="B45" s="732"/>
      <c r="C45" s="732"/>
      <c r="D45" s="744">
        <v>17.13</v>
      </c>
      <c r="E45" s="745">
        <v>100</v>
      </c>
      <c r="F45" s="735" t="s">
        <v>656</v>
      </c>
    </row>
    <row r="46" spans="1:6">
      <c r="A46" s="53"/>
      <c r="B46" s="53"/>
      <c r="C46" s="53"/>
      <c r="D46" s="53"/>
      <c r="E46" s="53"/>
      <c r="F46" s="53"/>
    </row>
    <row r="47" spans="1:6">
      <c r="A47" s="713" t="s">
        <v>665</v>
      </c>
      <c r="B47" s="709"/>
      <c r="C47" s="709"/>
      <c r="D47" s="709"/>
      <c r="E47" s="709"/>
      <c r="F47" s="709"/>
    </row>
    <row r="48" spans="1:6" ht="30">
      <c r="A48" s="740" t="s">
        <v>5</v>
      </c>
      <c r="B48" s="740" t="s">
        <v>829</v>
      </c>
      <c r="C48" s="741" t="s">
        <v>830</v>
      </c>
      <c r="D48" s="740" t="s">
        <v>831</v>
      </c>
      <c r="E48" s="740" t="s">
        <v>832</v>
      </c>
      <c r="F48" s="740" t="s">
        <v>833</v>
      </c>
    </row>
    <row r="49" spans="1:6">
      <c r="A49" s="720" t="s">
        <v>666</v>
      </c>
      <c r="B49" s="721" t="s">
        <v>645</v>
      </c>
      <c r="C49" s="721" t="s">
        <v>646</v>
      </c>
      <c r="D49" s="721">
        <v>1</v>
      </c>
      <c r="E49" s="721">
        <v>0.55000000000000004</v>
      </c>
      <c r="F49" s="749">
        <v>0.55000000000000004</v>
      </c>
    </row>
    <row r="50" spans="1:6">
      <c r="A50" s="720" t="s">
        <v>667</v>
      </c>
      <c r="B50" s="721" t="s">
        <v>645</v>
      </c>
      <c r="C50" s="721" t="s">
        <v>646</v>
      </c>
      <c r="D50" s="721">
        <v>1</v>
      </c>
      <c r="E50" s="721">
        <v>0.89</v>
      </c>
      <c r="F50" s="749">
        <v>0.89</v>
      </c>
    </row>
    <row r="51" spans="1:6">
      <c r="A51" s="720" t="s">
        <v>668</v>
      </c>
      <c r="B51" s="721" t="s">
        <v>645</v>
      </c>
      <c r="C51" s="721" t="s">
        <v>649</v>
      </c>
      <c r="D51" s="721">
        <v>1</v>
      </c>
      <c r="E51" s="721">
        <v>12.35</v>
      </c>
      <c r="F51" s="749">
        <v>12.35</v>
      </c>
    </row>
    <row r="52" spans="1:6">
      <c r="A52" s="720" t="s">
        <v>669</v>
      </c>
      <c r="B52" s="721" t="s">
        <v>645</v>
      </c>
      <c r="C52" s="721" t="s">
        <v>649</v>
      </c>
      <c r="D52" s="721">
        <v>1</v>
      </c>
      <c r="E52" s="721">
        <v>1.62</v>
      </c>
      <c r="F52" s="749">
        <v>1.62</v>
      </c>
    </row>
    <row r="53" spans="1:6">
      <c r="A53" s="720" t="s">
        <v>670</v>
      </c>
      <c r="B53" s="721" t="s">
        <v>645</v>
      </c>
      <c r="C53" s="721" t="s">
        <v>649</v>
      </c>
      <c r="D53" s="721">
        <v>1</v>
      </c>
      <c r="E53" s="721">
        <v>0.89</v>
      </c>
      <c r="F53" s="749">
        <v>0.89</v>
      </c>
    </row>
    <row r="54" spans="1:6">
      <c r="A54" s="720" t="s">
        <v>671</v>
      </c>
      <c r="B54" s="721" t="s">
        <v>645</v>
      </c>
      <c r="C54" s="721" t="s">
        <v>649</v>
      </c>
      <c r="D54" s="721">
        <v>1</v>
      </c>
      <c r="E54" s="721">
        <v>0.34</v>
      </c>
      <c r="F54" s="749">
        <v>0.34</v>
      </c>
    </row>
    <row r="55" spans="1:6">
      <c r="A55" s="750" t="s">
        <v>672</v>
      </c>
      <c r="B55" s="724"/>
      <c r="C55" s="724"/>
      <c r="D55" s="724"/>
      <c r="E55" s="724"/>
      <c r="F55" s="751"/>
    </row>
    <row r="56" spans="1:6">
      <c r="A56" s="750" t="s">
        <v>673</v>
      </c>
      <c r="B56" s="724"/>
      <c r="C56" s="724"/>
      <c r="D56" s="724"/>
      <c r="E56" s="724"/>
      <c r="F56" s="751"/>
    </row>
    <row r="57" spans="1:6">
      <c r="A57" s="750" t="s">
        <v>674</v>
      </c>
      <c r="B57" s="724"/>
      <c r="C57" s="724"/>
      <c r="D57" s="724"/>
      <c r="E57" s="724"/>
      <c r="F57" s="751"/>
    </row>
    <row r="58" spans="1:6">
      <c r="A58" s="750" t="s">
        <v>236</v>
      </c>
      <c r="B58" s="724"/>
      <c r="C58" s="724"/>
      <c r="D58" s="724"/>
      <c r="E58" s="724"/>
      <c r="F58" s="751"/>
    </row>
    <row r="59" spans="1:6">
      <c r="A59" s="720" t="s">
        <v>675</v>
      </c>
      <c r="B59" s="721" t="s">
        <v>645</v>
      </c>
      <c r="C59" s="721" t="s">
        <v>649</v>
      </c>
      <c r="D59" s="721">
        <v>1</v>
      </c>
      <c r="E59" s="721">
        <v>7.0000000000000007E-2</v>
      </c>
      <c r="F59" s="749">
        <v>7.0000000000000007E-2</v>
      </c>
    </row>
    <row r="60" spans="1:6">
      <c r="A60" s="752" t="s">
        <v>838</v>
      </c>
      <c r="B60" s="724"/>
      <c r="C60" s="724"/>
      <c r="D60" s="721">
        <v>12.35</v>
      </c>
      <c r="E60" s="725">
        <v>73.907839616995801</v>
      </c>
      <c r="F60" s="722" t="s">
        <v>656</v>
      </c>
    </row>
    <row r="61" spans="1:6">
      <c r="A61" s="714" t="s">
        <v>836</v>
      </c>
      <c r="B61" s="727"/>
      <c r="C61" s="727"/>
      <c r="D61" s="728">
        <v>4.3600000000000003</v>
      </c>
      <c r="E61" s="729">
        <v>26.092160383004188</v>
      </c>
      <c r="F61" s="730" t="s">
        <v>656</v>
      </c>
    </row>
    <row r="62" spans="1:6">
      <c r="A62" s="743"/>
      <c r="B62" s="732"/>
      <c r="C62" s="732"/>
      <c r="D62" s="753">
        <v>16.71</v>
      </c>
      <c r="E62" s="745">
        <v>99.999999999999986</v>
      </c>
      <c r="F62" s="735" t="s">
        <v>656</v>
      </c>
    </row>
    <row r="63" spans="1:6">
      <c r="A63" s="53"/>
      <c r="B63" s="53"/>
      <c r="C63" s="53"/>
      <c r="D63" s="53"/>
      <c r="E63" s="53"/>
      <c r="F63" s="53"/>
    </row>
    <row r="64" spans="1:6">
      <c r="A64" s="713" t="s">
        <v>676</v>
      </c>
      <c r="B64" s="754"/>
      <c r="C64" s="709"/>
      <c r="D64" s="709"/>
      <c r="E64" s="709"/>
      <c r="F64" s="709"/>
    </row>
    <row r="65" spans="1:6" ht="30">
      <c r="A65" s="740" t="s">
        <v>5</v>
      </c>
      <c r="B65" s="740" t="s">
        <v>829</v>
      </c>
      <c r="C65" s="741" t="s">
        <v>830</v>
      </c>
      <c r="D65" s="740" t="s">
        <v>831</v>
      </c>
      <c r="E65" s="740" t="s">
        <v>832</v>
      </c>
      <c r="F65" s="740" t="s">
        <v>833</v>
      </c>
    </row>
    <row r="66" spans="1:6">
      <c r="A66" s="680" t="s">
        <v>677</v>
      </c>
      <c r="B66" s="681" t="s">
        <v>645</v>
      </c>
      <c r="C66" s="681" t="s">
        <v>646</v>
      </c>
      <c r="D66" s="685">
        <v>1</v>
      </c>
      <c r="E66" s="685">
        <v>0.55000000000000004</v>
      </c>
      <c r="F66" s="685">
        <v>0.55000000000000004</v>
      </c>
    </row>
    <row r="67" spans="1:6">
      <c r="A67" s="717" t="s">
        <v>667</v>
      </c>
      <c r="B67" s="718" t="s">
        <v>645</v>
      </c>
      <c r="C67" s="718" t="s">
        <v>646</v>
      </c>
      <c r="D67" s="755">
        <v>1</v>
      </c>
      <c r="E67" s="755">
        <v>0.89</v>
      </c>
      <c r="F67" s="756">
        <v>0.89</v>
      </c>
    </row>
    <row r="68" spans="1:6">
      <c r="A68" s="720" t="s">
        <v>678</v>
      </c>
      <c r="B68" s="721" t="s">
        <v>645</v>
      </c>
      <c r="C68" s="721" t="s">
        <v>646</v>
      </c>
      <c r="D68" s="757">
        <v>1</v>
      </c>
      <c r="E68" s="757">
        <v>9.0299999999999994</v>
      </c>
      <c r="F68" s="758">
        <v>9.0299999999999994</v>
      </c>
    </row>
    <row r="69" spans="1:6">
      <c r="A69" s="720" t="s">
        <v>679</v>
      </c>
      <c r="B69" s="721" t="s">
        <v>645</v>
      </c>
      <c r="C69" s="721" t="s">
        <v>649</v>
      </c>
      <c r="D69" s="757">
        <v>1</v>
      </c>
      <c r="E69" s="757">
        <v>1.62</v>
      </c>
      <c r="F69" s="758">
        <v>1.62</v>
      </c>
    </row>
    <row r="70" spans="1:6">
      <c r="A70" s="720" t="s">
        <v>680</v>
      </c>
      <c r="B70" s="721" t="s">
        <v>645</v>
      </c>
      <c r="C70" s="721" t="s">
        <v>649</v>
      </c>
      <c r="D70" s="757">
        <v>1</v>
      </c>
      <c r="E70" s="757">
        <v>0.89</v>
      </c>
      <c r="F70" s="758">
        <v>0.89</v>
      </c>
    </row>
    <row r="71" spans="1:6">
      <c r="A71" s="720" t="s">
        <v>681</v>
      </c>
      <c r="B71" s="721" t="s">
        <v>645</v>
      </c>
      <c r="C71" s="721" t="s">
        <v>649</v>
      </c>
      <c r="D71" s="757">
        <v>1</v>
      </c>
      <c r="E71" s="757">
        <v>0.34</v>
      </c>
      <c r="F71" s="758">
        <v>0.34</v>
      </c>
    </row>
    <row r="72" spans="1:6">
      <c r="A72" s="720" t="s">
        <v>682</v>
      </c>
      <c r="B72" s="721" t="s">
        <v>645</v>
      </c>
      <c r="C72" s="721" t="s">
        <v>649</v>
      </c>
      <c r="D72" s="757">
        <v>1</v>
      </c>
      <c r="E72" s="757">
        <v>7.0000000000000007E-2</v>
      </c>
      <c r="F72" s="758">
        <v>7.0000000000000007E-2</v>
      </c>
    </row>
    <row r="73" spans="1:6">
      <c r="A73" s="720" t="s">
        <v>839</v>
      </c>
      <c r="B73" s="724"/>
      <c r="C73" s="724"/>
      <c r="D73" s="724">
        <v>9.0299999999999994</v>
      </c>
      <c r="E73" s="759">
        <v>67.438386855862575</v>
      </c>
      <c r="F73" s="722" t="s">
        <v>656</v>
      </c>
    </row>
    <row r="74" spans="1:6">
      <c r="A74" s="714" t="s">
        <v>836</v>
      </c>
      <c r="B74" s="724"/>
      <c r="C74" s="724"/>
      <c r="D74" s="727">
        <v>4.3600000000000003</v>
      </c>
      <c r="E74" s="760">
        <v>32.561613144137418</v>
      </c>
      <c r="F74" s="730" t="s">
        <v>656</v>
      </c>
    </row>
    <row r="75" spans="1:6">
      <c r="A75" s="743"/>
      <c r="B75" s="732"/>
      <c r="C75" s="732"/>
      <c r="D75" s="732">
        <v>13.39</v>
      </c>
      <c r="E75" s="761">
        <v>100</v>
      </c>
      <c r="F75" s="735"/>
    </row>
    <row r="76" spans="1:6">
      <c r="A76" s="53"/>
      <c r="B76" s="53"/>
      <c r="C76" s="53"/>
      <c r="D76" s="53"/>
      <c r="E76" s="53"/>
      <c r="F76" s="53"/>
    </row>
    <row r="77" spans="1:6">
      <c r="A77" s="736" t="s">
        <v>683</v>
      </c>
      <c r="B77" s="736"/>
      <c r="C77" s="736"/>
      <c r="D77" s="736"/>
      <c r="E77" s="736"/>
      <c r="F77" s="736"/>
    </row>
    <row r="78" spans="1:6" ht="30">
      <c r="A78" s="740" t="s">
        <v>5</v>
      </c>
      <c r="B78" s="740" t="s">
        <v>829</v>
      </c>
      <c r="C78" s="741" t="s">
        <v>830</v>
      </c>
      <c r="D78" s="740" t="s">
        <v>831</v>
      </c>
      <c r="E78" s="740" t="s">
        <v>832</v>
      </c>
      <c r="F78" s="740" t="s">
        <v>833</v>
      </c>
    </row>
    <row r="79" spans="1:6">
      <c r="A79" s="680" t="s">
        <v>684</v>
      </c>
      <c r="B79" s="681" t="s">
        <v>645</v>
      </c>
      <c r="C79" s="681" t="s">
        <v>646</v>
      </c>
      <c r="D79" s="681">
        <v>1</v>
      </c>
      <c r="E79" s="681">
        <v>0.55000000000000004</v>
      </c>
      <c r="F79" s="681">
        <v>0.55000000000000004</v>
      </c>
    </row>
    <row r="80" spans="1:6">
      <c r="A80" s="680" t="s">
        <v>685</v>
      </c>
      <c r="B80" s="681" t="s">
        <v>645</v>
      </c>
      <c r="C80" s="681" t="s">
        <v>646</v>
      </c>
      <c r="D80" s="681">
        <v>1</v>
      </c>
      <c r="E80" s="681">
        <v>0.89</v>
      </c>
      <c r="F80" s="681">
        <v>0.89</v>
      </c>
    </row>
    <row r="81" spans="1:6">
      <c r="A81" s="680" t="s">
        <v>686</v>
      </c>
      <c r="B81" s="681" t="s">
        <v>645</v>
      </c>
      <c r="C81" s="681" t="s">
        <v>646</v>
      </c>
      <c r="D81" s="681">
        <v>1</v>
      </c>
      <c r="E81" s="681">
        <v>19.91</v>
      </c>
      <c r="F81" s="681">
        <v>19.91</v>
      </c>
    </row>
    <row r="82" spans="1:6">
      <c r="A82" s="680" t="s">
        <v>687</v>
      </c>
      <c r="B82" s="681" t="s">
        <v>645</v>
      </c>
      <c r="C82" s="681" t="s">
        <v>649</v>
      </c>
      <c r="D82" s="681">
        <v>1</v>
      </c>
      <c r="E82" s="681">
        <v>1.62</v>
      </c>
      <c r="F82" s="681">
        <v>1.62</v>
      </c>
    </row>
    <row r="83" spans="1:6">
      <c r="A83" s="680" t="s">
        <v>688</v>
      </c>
      <c r="B83" s="681" t="s">
        <v>645</v>
      </c>
      <c r="C83" s="681" t="s">
        <v>649</v>
      </c>
      <c r="D83" s="681">
        <v>1</v>
      </c>
      <c r="E83" s="681">
        <v>0.89</v>
      </c>
      <c r="F83" s="681">
        <v>0.89</v>
      </c>
    </row>
    <row r="84" spans="1:6">
      <c r="A84" s="680" t="s">
        <v>689</v>
      </c>
      <c r="B84" s="681" t="s">
        <v>645</v>
      </c>
      <c r="C84" s="681" t="s">
        <v>649</v>
      </c>
      <c r="D84" s="681">
        <v>1</v>
      </c>
      <c r="E84" s="681">
        <v>0.34</v>
      </c>
      <c r="F84" s="681">
        <v>0.34</v>
      </c>
    </row>
    <row r="85" spans="1:6">
      <c r="A85" s="680" t="s">
        <v>690</v>
      </c>
      <c r="B85" s="681" t="s">
        <v>645</v>
      </c>
      <c r="C85" s="681" t="s">
        <v>649</v>
      </c>
      <c r="D85" s="681">
        <v>1</v>
      </c>
      <c r="E85" s="681">
        <v>7.0000000000000007E-2</v>
      </c>
      <c r="F85" s="681">
        <v>7.0000000000000007E-2</v>
      </c>
    </row>
    <row r="86" spans="1:6">
      <c r="A86" s="693" t="s">
        <v>834</v>
      </c>
      <c r="B86" s="684"/>
      <c r="C86" s="682"/>
      <c r="D86" s="687">
        <v>19.91</v>
      </c>
      <c r="E86" s="688">
        <v>82.035434693036663</v>
      </c>
      <c r="F86" s="689" t="s">
        <v>656</v>
      </c>
    </row>
    <row r="87" spans="1:6">
      <c r="A87" s="714" t="s">
        <v>836</v>
      </c>
      <c r="B87" s="716"/>
      <c r="C87" s="679"/>
      <c r="D87" s="683">
        <v>4.3600000000000003</v>
      </c>
      <c r="E87" s="678">
        <v>17.96456530696333</v>
      </c>
      <c r="F87" s="679" t="s">
        <v>656</v>
      </c>
    </row>
    <row r="88" spans="1:6">
      <c r="A88" s="693" t="s">
        <v>840</v>
      </c>
      <c r="B88" s="684"/>
      <c r="C88" s="682"/>
      <c r="D88" s="690">
        <v>24.27</v>
      </c>
      <c r="E88" s="691">
        <v>100</v>
      </c>
      <c r="F88" s="686"/>
    </row>
    <row r="89" spans="1:6">
      <c r="A89" s="53"/>
      <c r="B89" s="53"/>
      <c r="C89" s="53"/>
      <c r="D89" s="692"/>
      <c r="E89" s="692"/>
      <c r="F89" s="692"/>
    </row>
    <row r="90" spans="1:6">
      <c r="A90" s="53"/>
      <c r="B90" s="53"/>
      <c r="C90" s="53"/>
      <c r="D90" s="53"/>
      <c r="E90" s="53"/>
      <c r="F90" s="53"/>
    </row>
  </sheetData>
  <mergeCells count="2">
    <mergeCell ref="A12:E12"/>
    <mergeCell ref="A1:F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28"/>
  <sheetViews>
    <sheetView workbookViewId="0">
      <selection activeCell="C6" sqref="C6"/>
    </sheetView>
  </sheetViews>
  <sheetFormatPr defaultRowHeight="15"/>
  <cols>
    <col min="1" max="1" width="9" style="1"/>
    <col min="2" max="2" width="44.5703125" style="603" customWidth="1"/>
    <col min="3" max="3" width="13.42578125" style="1" customWidth="1"/>
  </cols>
  <sheetData>
    <row r="1" spans="1:3" s="316" customFormat="1">
      <c r="A1" s="1"/>
      <c r="B1" s="603"/>
      <c r="C1" s="1"/>
    </row>
    <row r="2" spans="1:3" ht="30">
      <c r="A2" s="1" t="s">
        <v>555</v>
      </c>
      <c r="B2" s="603" t="s">
        <v>611</v>
      </c>
      <c r="C2" s="1">
        <v>138439.27435852797</v>
      </c>
    </row>
    <row r="3" spans="1:3" ht="30">
      <c r="A3" s="1" t="s">
        <v>34</v>
      </c>
      <c r="B3" s="603" t="s">
        <v>609</v>
      </c>
      <c r="C3" s="1">
        <v>110682.520455936</v>
      </c>
    </row>
    <row r="4" spans="1:3" ht="30">
      <c r="A4" s="1" t="s">
        <v>556</v>
      </c>
      <c r="B4" s="603" t="s">
        <v>612</v>
      </c>
      <c r="C4" s="1">
        <v>88127.463754499855</v>
      </c>
    </row>
    <row r="5" spans="1:3" ht="30">
      <c r="A5" s="1" t="s">
        <v>35</v>
      </c>
      <c r="B5" s="603" t="s">
        <v>610</v>
      </c>
      <c r="C5" s="1">
        <v>71935.679055277054</v>
      </c>
    </row>
    <row r="6" spans="1:3" ht="75">
      <c r="A6" s="1" t="s">
        <v>31</v>
      </c>
      <c r="B6" s="603" t="s">
        <v>330</v>
      </c>
      <c r="C6" s="1">
        <v>52423.937279999998</v>
      </c>
    </row>
    <row r="7" spans="1:3" ht="30">
      <c r="A7" s="1" t="s">
        <v>551</v>
      </c>
      <c r="B7" s="603" t="s">
        <v>582</v>
      </c>
      <c r="C7" s="1">
        <v>43648.562699673435</v>
      </c>
    </row>
    <row r="8" spans="1:3" ht="30">
      <c r="A8" s="1" t="s">
        <v>552</v>
      </c>
      <c r="B8" s="603" t="s">
        <v>591</v>
      </c>
      <c r="C8" s="1">
        <v>42780.471007300563</v>
      </c>
    </row>
    <row r="9" spans="1:3" ht="30">
      <c r="A9" s="1" t="s">
        <v>550</v>
      </c>
      <c r="B9" s="603" t="s">
        <v>584</v>
      </c>
      <c r="C9" s="1">
        <v>41065.357537227472</v>
      </c>
    </row>
    <row r="10" spans="1:3" ht="30">
      <c r="A10" s="1" t="s">
        <v>553</v>
      </c>
      <c r="B10" s="603" t="s">
        <v>583</v>
      </c>
      <c r="C10" s="1">
        <v>34149.222265096847</v>
      </c>
    </row>
    <row r="11" spans="1:3" ht="30">
      <c r="A11" s="1" t="s">
        <v>549</v>
      </c>
      <c r="B11" s="603" t="s">
        <v>607</v>
      </c>
      <c r="C11" s="1">
        <v>25069.329263688986</v>
      </c>
    </row>
    <row r="12" spans="1:3">
      <c r="A12" s="1" t="s">
        <v>41</v>
      </c>
      <c r="B12" s="603" t="s">
        <v>613</v>
      </c>
      <c r="C12" s="1">
        <v>23972.146255200001</v>
      </c>
    </row>
    <row r="13" spans="1:3" ht="60">
      <c r="A13" s="1" t="s">
        <v>332</v>
      </c>
      <c r="B13" s="603" t="s">
        <v>331</v>
      </c>
      <c r="C13" s="1">
        <v>21369.444095999999</v>
      </c>
    </row>
    <row r="14" spans="1:3" ht="30">
      <c r="A14" s="1" t="s">
        <v>565</v>
      </c>
      <c r="B14" s="603" t="s">
        <v>265</v>
      </c>
      <c r="C14" s="1">
        <v>11325.599999999999</v>
      </c>
    </row>
    <row r="15" spans="1:3">
      <c r="A15" s="1" t="s">
        <v>70</v>
      </c>
      <c r="B15" s="603" t="s">
        <v>431</v>
      </c>
      <c r="C15" s="1">
        <v>8601.7828200000004</v>
      </c>
    </row>
    <row r="16" spans="1:3" ht="165">
      <c r="A16" s="1" t="s">
        <v>63</v>
      </c>
      <c r="B16" s="603" t="s">
        <v>476</v>
      </c>
      <c r="C16" s="1">
        <v>8028.5920000000006</v>
      </c>
    </row>
    <row r="17" spans="1:3" ht="150">
      <c r="A17" s="1" t="s">
        <v>56</v>
      </c>
      <c r="B17" s="603" t="s">
        <v>470</v>
      </c>
      <c r="C17" s="1">
        <v>7399.3919999999998</v>
      </c>
    </row>
    <row r="18" spans="1:3" ht="150">
      <c r="A18" s="1" t="s">
        <v>58</v>
      </c>
      <c r="B18" s="603" t="s">
        <v>472</v>
      </c>
      <c r="C18" s="1">
        <v>5945.9400000000005</v>
      </c>
    </row>
    <row r="19" spans="1:3" ht="165">
      <c r="A19" s="1" t="s">
        <v>64</v>
      </c>
      <c r="B19" s="603" t="s">
        <v>616</v>
      </c>
      <c r="C19" s="1">
        <v>5851.5599999999995</v>
      </c>
    </row>
    <row r="20" spans="1:3">
      <c r="A20" s="1" t="s">
        <v>535</v>
      </c>
      <c r="B20" s="603" t="s">
        <v>348</v>
      </c>
      <c r="C20" s="1">
        <v>5158.6068599999999</v>
      </c>
    </row>
    <row r="21" spans="1:3">
      <c r="A21" s="1" t="s">
        <v>75</v>
      </c>
      <c r="B21" s="603" t="s">
        <v>378</v>
      </c>
      <c r="C21" s="1">
        <v>5122.3485000000001</v>
      </c>
    </row>
    <row r="22" spans="1:3">
      <c r="A22" s="1" t="s">
        <v>74</v>
      </c>
      <c r="B22" s="603" t="s">
        <v>418</v>
      </c>
      <c r="C22" s="1">
        <v>4094.4582</v>
      </c>
    </row>
    <row r="23" spans="1:3">
      <c r="A23" s="1" t="s">
        <v>534</v>
      </c>
      <c r="B23" s="603" t="s">
        <v>349</v>
      </c>
      <c r="C23" s="1">
        <v>3873.3506159999997</v>
      </c>
    </row>
    <row r="24" spans="1:3" ht="165">
      <c r="A24" s="1" t="s">
        <v>61</v>
      </c>
      <c r="B24" s="603" t="s">
        <v>468</v>
      </c>
      <c r="C24" s="1">
        <v>3643.0680000000002</v>
      </c>
    </row>
    <row r="25" spans="1:3" ht="150">
      <c r="A25" s="1" t="s">
        <v>60</v>
      </c>
      <c r="B25" s="603" t="s">
        <v>474</v>
      </c>
      <c r="C25" s="1">
        <v>3133.4160000000002</v>
      </c>
    </row>
    <row r="26" spans="1:3" ht="165">
      <c r="A26" s="1" t="s">
        <v>62</v>
      </c>
      <c r="B26" s="603" t="s">
        <v>475</v>
      </c>
      <c r="C26" s="1">
        <v>2554.5520000000001</v>
      </c>
    </row>
    <row r="27" spans="1:3">
      <c r="A27" s="1" t="s">
        <v>73</v>
      </c>
      <c r="B27" s="603" t="s">
        <v>417</v>
      </c>
      <c r="C27" s="1">
        <v>2337.432804</v>
      </c>
    </row>
    <row r="28" spans="1:3" ht="150">
      <c r="A28" s="1" t="s">
        <v>55</v>
      </c>
      <c r="B28" s="603" t="s">
        <v>615</v>
      </c>
      <c r="C28" s="1">
        <v>2227.3679999999999</v>
      </c>
    </row>
    <row r="29" spans="1:3" ht="150">
      <c r="A29" s="1" t="s">
        <v>59</v>
      </c>
      <c r="B29" s="603" t="s">
        <v>473</v>
      </c>
      <c r="C29" s="1">
        <v>2051.192</v>
      </c>
    </row>
    <row r="30" spans="1:3" ht="150">
      <c r="A30" s="1" t="s">
        <v>57</v>
      </c>
      <c r="B30" s="603" t="s">
        <v>471</v>
      </c>
      <c r="C30" s="1">
        <v>2026.0240000000001</v>
      </c>
    </row>
    <row r="31" spans="1:3" ht="30">
      <c r="A31" s="1" t="s">
        <v>525</v>
      </c>
      <c r="B31" s="603" t="s">
        <v>463</v>
      </c>
      <c r="C31" s="1">
        <v>1972.5460000000003</v>
      </c>
    </row>
    <row r="32" spans="1:3" ht="30">
      <c r="A32" s="1" t="s">
        <v>484</v>
      </c>
      <c r="B32" s="603" t="s">
        <v>383</v>
      </c>
      <c r="C32" s="1">
        <v>1710.3</v>
      </c>
    </row>
    <row r="33" spans="1:3">
      <c r="A33" s="1" t="s">
        <v>96</v>
      </c>
      <c r="B33" s="603" t="s">
        <v>399</v>
      </c>
      <c r="C33" s="1">
        <v>1516.4660000000001</v>
      </c>
    </row>
    <row r="34" spans="1:3" ht="150">
      <c r="A34" s="1" t="s">
        <v>54</v>
      </c>
      <c r="B34" s="603" t="s">
        <v>614</v>
      </c>
      <c r="C34" s="1">
        <v>1352.78</v>
      </c>
    </row>
    <row r="35" spans="1:3" ht="30">
      <c r="A35" s="1" t="s">
        <v>483</v>
      </c>
      <c r="B35" s="603" t="s">
        <v>382</v>
      </c>
      <c r="C35" s="1">
        <v>1254.22</v>
      </c>
    </row>
    <row r="36" spans="1:3">
      <c r="A36" s="1" t="s">
        <v>71</v>
      </c>
      <c r="B36" s="603" t="s">
        <v>371</v>
      </c>
      <c r="C36" s="1">
        <v>1168.9558440000001</v>
      </c>
    </row>
    <row r="37" spans="1:3">
      <c r="A37" s="1" t="s">
        <v>488</v>
      </c>
      <c r="B37" s="603" t="s">
        <v>381</v>
      </c>
      <c r="C37" s="1">
        <v>1140.2</v>
      </c>
    </row>
    <row r="38" spans="1:3">
      <c r="A38" s="1" t="s">
        <v>72</v>
      </c>
      <c r="B38" s="603" t="s">
        <v>372</v>
      </c>
      <c r="C38" s="1">
        <v>1092.8816999999999</v>
      </c>
    </row>
    <row r="39" spans="1:3">
      <c r="A39" s="1" t="s">
        <v>95</v>
      </c>
      <c r="B39" s="603" t="s">
        <v>398</v>
      </c>
      <c r="C39" s="1">
        <v>1005.6564</v>
      </c>
    </row>
    <row r="40" spans="1:3">
      <c r="A40" s="1" t="s">
        <v>485</v>
      </c>
      <c r="B40" s="603" t="s">
        <v>374</v>
      </c>
      <c r="C40" s="1">
        <v>945.54505599999993</v>
      </c>
    </row>
    <row r="41" spans="1:3" ht="30">
      <c r="A41" s="1" t="s">
        <v>47</v>
      </c>
      <c r="B41" s="603" t="s">
        <v>443</v>
      </c>
      <c r="C41" s="1">
        <v>855.15</v>
      </c>
    </row>
    <row r="42" spans="1:3">
      <c r="A42" s="1" t="s">
        <v>495</v>
      </c>
      <c r="B42" s="603" t="s">
        <v>359</v>
      </c>
      <c r="C42" s="1">
        <v>828.64035000000001</v>
      </c>
    </row>
    <row r="43" spans="1:3">
      <c r="A43" s="1" t="s">
        <v>523</v>
      </c>
      <c r="B43" s="603" t="s">
        <v>430</v>
      </c>
      <c r="C43" s="1">
        <v>821.04661800000008</v>
      </c>
    </row>
    <row r="44" spans="1:3">
      <c r="A44" s="1" t="s">
        <v>494</v>
      </c>
      <c r="B44" s="603" t="s">
        <v>360</v>
      </c>
      <c r="C44" s="1">
        <v>813.76073999999994</v>
      </c>
    </row>
    <row r="45" spans="1:3">
      <c r="A45" s="1" t="s">
        <v>542</v>
      </c>
      <c r="B45" s="603" t="s">
        <v>379</v>
      </c>
      <c r="C45" s="1">
        <v>742.27020000000005</v>
      </c>
    </row>
    <row r="46" spans="1:3" ht="30">
      <c r="A46" s="1" t="s">
        <v>43</v>
      </c>
      <c r="B46" s="603" t="s">
        <v>419</v>
      </c>
      <c r="C46" s="1">
        <v>720.60640000000001</v>
      </c>
    </row>
    <row r="47" spans="1:3">
      <c r="A47" s="1" t="s">
        <v>539</v>
      </c>
      <c r="B47" s="603" t="s">
        <v>350</v>
      </c>
      <c r="C47" s="1">
        <v>701.22299999999996</v>
      </c>
    </row>
    <row r="48" spans="1:3">
      <c r="A48" s="1" t="s">
        <v>492</v>
      </c>
      <c r="B48" s="603" t="s">
        <v>455</v>
      </c>
      <c r="C48" s="1">
        <v>638.62602000000004</v>
      </c>
    </row>
    <row r="49" spans="1:3">
      <c r="A49" s="1" t="s">
        <v>490</v>
      </c>
      <c r="B49" s="603" t="s">
        <v>369</v>
      </c>
      <c r="C49" s="1">
        <v>635.37644999999998</v>
      </c>
    </row>
    <row r="50" spans="1:3">
      <c r="A50" s="1" t="s">
        <v>489</v>
      </c>
      <c r="B50" s="603" t="s">
        <v>385</v>
      </c>
      <c r="C50" s="1">
        <v>633.8371800000001</v>
      </c>
    </row>
    <row r="51" spans="1:3">
      <c r="A51" s="1" t="s">
        <v>491</v>
      </c>
      <c r="B51" s="603" t="s">
        <v>454</v>
      </c>
      <c r="C51" s="1">
        <v>633.8371800000001</v>
      </c>
    </row>
    <row r="52" spans="1:3">
      <c r="A52" s="1" t="s">
        <v>493</v>
      </c>
      <c r="B52" s="603" t="s">
        <v>370</v>
      </c>
      <c r="C52" s="1">
        <v>633.8371800000001</v>
      </c>
    </row>
    <row r="53" spans="1:3">
      <c r="A53" s="1" t="s">
        <v>524</v>
      </c>
      <c r="B53" s="603" t="s">
        <v>434</v>
      </c>
      <c r="C53" s="1">
        <v>619.47065999999995</v>
      </c>
    </row>
    <row r="54" spans="1:3">
      <c r="A54" s="1" t="s">
        <v>537</v>
      </c>
      <c r="B54" s="603" t="s">
        <v>407</v>
      </c>
      <c r="C54" s="1">
        <v>593.24606000000006</v>
      </c>
    </row>
    <row r="55" spans="1:3">
      <c r="A55" s="1" t="s">
        <v>487</v>
      </c>
      <c r="B55" s="603" t="s">
        <v>400</v>
      </c>
      <c r="C55" s="1">
        <v>570.1</v>
      </c>
    </row>
    <row r="56" spans="1:3">
      <c r="A56" s="1" t="s">
        <v>87</v>
      </c>
      <c r="B56" s="603" t="s">
        <v>375</v>
      </c>
      <c r="C56" s="1">
        <v>549.57640000000004</v>
      </c>
    </row>
    <row r="57" spans="1:3" ht="30">
      <c r="A57" s="1" t="s">
        <v>76</v>
      </c>
      <c r="B57" s="603" t="s">
        <v>429</v>
      </c>
      <c r="C57" s="1">
        <v>542.84922000000006</v>
      </c>
    </row>
    <row r="58" spans="1:3">
      <c r="A58" s="1" t="s">
        <v>482</v>
      </c>
      <c r="B58" s="603" t="s">
        <v>405</v>
      </c>
      <c r="C58" s="1">
        <v>536.00801999999999</v>
      </c>
    </row>
    <row r="59" spans="1:3">
      <c r="A59" s="1" t="s">
        <v>44</v>
      </c>
      <c r="B59" s="603" t="s">
        <v>376</v>
      </c>
      <c r="C59" s="1">
        <v>495.98699999999997</v>
      </c>
    </row>
    <row r="60" spans="1:3">
      <c r="A60" s="1" t="s">
        <v>88</v>
      </c>
      <c r="B60" s="603" t="s">
        <v>435</v>
      </c>
      <c r="C60" s="1">
        <v>488.91775999999999</v>
      </c>
    </row>
    <row r="61" spans="1:3">
      <c r="A61" s="1" t="s">
        <v>507</v>
      </c>
      <c r="B61" s="603" t="s">
        <v>394</v>
      </c>
      <c r="C61" s="1">
        <v>456.08</v>
      </c>
    </row>
    <row r="62" spans="1:3">
      <c r="A62" s="1" t="s">
        <v>48</v>
      </c>
      <c r="B62" s="603" t="s">
        <v>380</v>
      </c>
      <c r="C62" s="1">
        <v>325.86915999999997</v>
      </c>
    </row>
    <row r="63" spans="1:3">
      <c r="A63" s="1" t="s">
        <v>540</v>
      </c>
      <c r="B63" s="603" t="s">
        <v>437</v>
      </c>
      <c r="C63" s="1">
        <v>324.34129199999995</v>
      </c>
    </row>
    <row r="64" spans="1:3">
      <c r="A64" s="1" t="s">
        <v>528</v>
      </c>
      <c r="B64" s="603" t="s">
        <v>354</v>
      </c>
      <c r="C64" s="1">
        <v>323.08707200000003</v>
      </c>
    </row>
    <row r="65" spans="1:3">
      <c r="A65" s="1" t="s">
        <v>86</v>
      </c>
      <c r="B65" s="603" t="s">
        <v>506</v>
      </c>
      <c r="C65" s="1">
        <v>319.96292399999999</v>
      </c>
    </row>
    <row r="66" spans="1:3">
      <c r="A66" s="1" t="s">
        <v>46</v>
      </c>
      <c r="B66" s="603" t="s">
        <v>351</v>
      </c>
      <c r="C66" s="1">
        <v>307.85399999999998</v>
      </c>
    </row>
    <row r="67" spans="1:3">
      <c r="A67" s="1" t="s">
        <v>538</v>
      </c>
      <c r="B67" s="603" t="s">
        <v>347</v>
      </c>
      <c r="C67" s="1">
        <v>305.23154</v>
      </c>
    </row>
    <row r="68" spans="1:3">
      <c r="A68" s="1" t="s">
        <v>105</v>
      </c>
      <c r="B68" s="603" t="s">
        <v>424</v>
      </c>
      <c r="C68" s="1">
        <v>302.49506000000002</v>
      </c>
    </row>
    <row r="69" spans="1:3">
      <c r="A69" s="1" t="s">
        <v>526</v>
      </c>
      <c r="B69" s="603" t="s">
        <v>346</v>
      </c>
      <c r="C69" s="1">
        <v>300.78476000000001</v>
      </c>
    </row>
    <row r="70" spans="1:3" ht="30">
      <c r="A70" s="1" t="s">
        <v>85</v>
      </c>
      <c r="B70" s="603" t="s">
        <v>505</v>
      </c>
      <c r="C70" s="1">
        <v>289.72482000000002</v>
      </c>
    </row>
    <row r="71" spans="1:3" ht="30">
      <c r="A71" s="1" t="s">
        <v>84</v>
      </c>
      <c r="B71" s="603" t="s">
        <v>504</v>
      </c>
      <c r="C71" s="1">
        <v>289.38275999999996</v>
      </c>
    </row>
    <row r="72" spans="1:3">
      <c r="A72" s="1" t="s">
        <v>45</v>
      </c>
      <c r="B72" s="603" t="s">
        <v>438</v>
      </c>
      <c r="C72" s="1">
        <v>279.22357799999997</v>
      </c>
    </row>
    <row r="73" spans="1:3">
      <c r="A73" s="1" t="s">
        <v>508</v>
      </c>
      <c r="B73" s="603" t="s">
        <v>393</v>
      </c>
      <c r="C73" s="1">
        <v>273.64799999999997</v>
      </c>
    </row>
    <row r="74" spans="1:3">
      <c r="A74" s="1" t="s">
        <v>536</v>
      </c>
      <c r="B74" s="603" t="s">
        <v>397</v>
      </c>
      <c r="C74" s="1">
        <v>251.61933600000003</v>
      </c>
    </row>
    <row r="75" spans="1:3" ht="45">
      <c r="A75" s="1" t="s">
        <v>20</v>
      </c>
      <c r="B75" s="603" t="s">
        <v>321</v>
      </c>
      <c r="C75" s="1">
        <v>246.59606400000001</v>
      </c>
    </row>
    <row r="76" spans="1:3">
      <c r="A76" s="1" t="s">
        <v>101</v>
      </c>
      <c r="B76" s="603" t="s">
        <v>365</v>
      </c>
      <c r="C76" s="1">
        <v>239.27096999999998</v>
      </c>
    </row>
    <row r="77" spans="1:3">
      <c r="A77" s="1" t="s">
        <v>68</v>
      </c>
      <c r="B77" s="603" t="s">
        <v>395</v>
      </c>
      <c r="C77" s="1">
        <v>230.06955600000001</v>
      </c>
    </row>
    <row r="78" spans="1:3">
      <c r="A78" s="1" t="s">
        <v>529</v>
      </c>
      <c r="B78" s="603" t="s">
        <v>448</v>
      </c>
      <c r="C78" s="1">
        <v>227.18484999999998</v>
      </c>
    </row>
    <row r="79" spans="1:3" ht="30">
      <c r="A79" s="1" t="s">
        <v>77</v>
      </c>
      <c r="B79" s="603" t="s">
        <v>384</v>
      </c>
      <c r="C79" s="1">
        <v>218.23428000000001</v>
      </c>
    </row>
    <row r="80" spans="1:3">
      <c r="A80" s="1" t="s">
        <v>481</v>
      </c>
      <c r="B80" s="603" t="s">
        <v>373</v>
      </c>
      <c r="C80" s="1">
        <v>199.53499999999997</v>
      </c>
    </row>
    <row r="81" spans="1:3">
      <c r="A81" s="1" t="s">
        <v>486</v>
      </c>
      <c r="B81" s="603" t="s">
        <v>439</v>
      </c>
      <c r="C81" s="1">
        <v>182.43199999999999</v>
      </c>
    </row>
    <row r="82" spans="1:3">
      <c r="A82" s="1" t="s">
        <v>83</v>
      </c>
      <c r="B82" s="603" t="s">
        <v>503</v>
      </c>
      <c r="C82" s="1">
        <v>176.50296</v>
      </c>
    </row>
    <row r="83" spans="1:3">
      <c r="A83" s="1" t="s">
        <v>81</v>
      </c>
      <c r="B83" s="603" t="s">
        <v>452</v>
      </c>
      <c r="C83" s="1">
        <v>167.198928</v>
      </c>
    </row>
    <row r="84" spans="1:3">
      <c r="A84" s="1" t="s">
        <v>79</v>
      </c>
      <c r="B84" s="603" t="s">
        <v>450</v>
      </c>
      <c r="C84" s="1">
        <v>159.39995999999999</v>
      </c>
    </row>
    <row r="85" spans="1:3">
      <c r="A85" s="1" t="s">
        <v>80</v>
      </c>
      <c r="B85" s="603" t="s">
        <v>451</v>
      </c>
      <c r="C85" s="1">
        <v>151.53258</v>
      </c>
    </row>
    <row r="86" spans="1:3">
      <c r="A86" s="1" t="s">
        <v>82</v>
      </c>
      <c r="B86" s="603" t="s">
        <v>453</v>
      </c>
      <c r="C86" s="1">
        <v>150.43798799999999</v>
      </c>
    </row>
    <row r="87" spans="1:3">
      <c r="A87" s="1" t="s">
        <v>78</v>
      </c>
      <c r="B87" s="603" t="s">
        <v>449</v>
      </c>
      <c r="C87" s="1">
        <v>145.170264</v>
      </c>
    </row>
    <row r="88" spans="1:3">
      <c r="A88" s="1" t="s">
        <v>527</v>
      </c>
      <c r="B88" s="603" t="s">
        <v>447</v>
      </c>
      <c r="C88" s="1">
        <v>142.12593000000001</v>
      </c>
    </row>
    <row r="89" spans="1:3">
      <c r="A89" s="1" t="s">
        <v>67</v>
      </c>
      <c r="B89" s="603" t="s">
        <v>392</v>
      </c>
      <c r="C89" s="1">
        <v>121.978596</v>
      </c>
    </row>
    <row r="90" spans="1:3" ht="30">
      <c r="A90" s="1" t="s">
        <v>509</v>
      </c>
      <c r="B90" s="603" t="s">
        <v>428</v>
      </c>
      <c r="C90" s="1">
        <v>112.65176</v>
      </c>
    </row>
    <row r="91" spans="1:3">
      <c r="A91" s="1" t="s">
        <v>66</v>
      </c>
      <c r="B91" s="603" t="s">
        <v>391</v>
      </c>
      <c r="C91" s="1">
        <v>112.12726800000002</v>
      </c>
    </row>
    <row r="92" spans="1:3">
      <c r="A92" s="1" t="s">
        <v>65</v>
      </c>
      <c r="B92" s="603" t="s">
        <v>390</v>
      </c>
      <c r="C92" s="1">
        <v>110.82744</v>
      </c>
    </row>
    <row r="93" spans="1:3">
      <c r="A93" s="1" t="s">
        <v>510</v>
      </c>
      <c r="B93" s="603" t="s">
        <v>367</v>
      </c>
      <c r="C93" s="1">
        <v>102.61800000000001</v>
      </c>
    </row>
    <row r="94" spans="1:3">
      <c r="A94" s="1" t="s">
        <v>530</v>
      </c>
      <c r="B94" s="603" t="s">
        <v>355</v>
      </c>
      <c r="C94" s="1">
        <v>97.008216000000004</v>
      </c>
    </row>
    <row r="95" spans="1:3">
      <c r="A95" s="1" t="s">
        <v>42</v>
      </c>
      <c r="B95" s="603" t="s">
        <v>426</v>
      </c>
      <c r="C95" s="1">
        <v>95.776799999999994</v>
      </c>
    </row>
    <row r="96" spans="1:3" ht="30">
      <c r="A96" s="1" t="s">
        <v>21</v>
      </c>
      <c r="B96" s="603" t="s">
        <v>480</v>
      </c>
      <c r="C96" s="1">
        <v>93.587208000000004</v>
      </c>
    </row>
    <row r="97" spans="1:3">
      <c r="A97" s="1" t="s">
        <v>89</v>
      </c>
      <c r="B97" s="603" t="s">
        <v>436</v>
      </c>
      <c r="C97" s="1">
        <v>78.856232000000006</v>
      </c>
    </row>
    <row r="98" spans="1:3">
      <c r="A98" s="1" t="s">
        <v>522</v>
      </c>
      <c r="B98" s="603" t="s">
        <v>446</v>
      </c>
      <c r="C98" s="1">
        <v>68.412000000000006</v>
      </c>
    </row>
    <row r="99" spans="1:3">
      <c r="A99" s="1" t="s">
        <v>496</v>
      </c>
      <c r="B99" s="603" t="s">
        <v>377</v>
      </c>
      <c r="C99" s="1">
        <v>64.820369999999997</v>
      </c>
    </row>
    <row r="100" spans="1:3">
      <c r="A100" s="1" t="s">
        <v>69</v>
      </c>
      <c r="B100" s="603" t="s">
        <v>396</v>
      </c>
      <c r="C100" s="1">
        <v>64.786163999999999</v>
      </c>
    </row>
    <row r="101" spans="1:3">
      <c r="A101" s="1" t="s">
        <v>91</v>
      </c>
      <c r="B101" s="603" t="s">
        <v>361</v>
      </c>
      <c r="C101" s="1">
        <v>57.466080000000005</v>
      </c>
    </row>
    <row r="102" spans="1:3">
      <c r="A102" s="1" t="s">
        <v>92</v>
      </c>
      <c r="B102" s="603" t="s">
        <v>362</v>
      </c>
      <c r="C102" s="1">
        <v>53.247339999999994</v>
      </c>
    </row>
    <row r="103" spans="1:3">
      <c r="A103" s="1" t="s">
        <v>93</v>
      </c>
      <c r="B103" s="603" t="s">
        <v>363</v>
      </c>
      <c r="C103" s="1">
        <v>50.054780000000001</v>
      </c>
    </row>
    <row r="104" spans="1:3">
      <c r="A104" s="1" t="s">
        <v>541</v>
      </c>
      <c r="B104" s="603" t="s">
        <v>345</v>
      </c>
      <c r="C104" s="1">
        <v>48.435695999999993</v>
      </c>
    </row>
    <row r="105" spans="1:3">
      <c r="A105" s="1" t="s">
        <v>531</v>
      </c>
      <c r="B105" s="603" t="s">
        <v>353</v>
      </c>
      <c r="C105" s="1">
        <v>41.685712000000002</v>
      </c>
    </row>
    <row r="106" spans="1:3">
      <c r="A106" s="1" t="s">
        <v>94</v>
      </c>
      <c r="B106" s="603" t="s">
        <v>364</v>
      </c>
      <c r="C106" s="1">
        <v>41.047200000000004</v>
      </c>
    </row>
    <row r="107" spans="1:3">
      <c r="A107" s="1" t="s">
        <v>543</v>
      </c>
      <c r="B107" s="603" t="s">
        <v>368</v>
      </c>
      <c r="C107" s="1">
        <v>37.28454</v>
      </c>
    </row>
    <row r="108" spans="1:3">
      <c r="A108" s="1" t="s">
        <v>53</v>
      </c>
      <c r="B108" s="603" t="s">
        <v>388</v>
      </c>
      <c r="C108" s="1">
        <v>31.355499999999999</v>
      </c>
    </row>
    <row r="109" spans="1:3">
      <c r="A109" s="1" t="s">
        <v>521</v>
      </c>
      <c r="B109" s="603" t="s">
        <v>445</v>
      </c>
      <c r="C109" s="1">
        <v>29.075100000000003</v>
      </c>
    </row>
    <row r="110" spans="1:3">
      <c r="A110" s="1" t="s">
        <v>50</v>
      </c>
      <c r="B110" s="603" t="s">
        <v>386</v>
      </c>
      <c r="C110" s="1">
        <v>28.904070000000001</v>
      </c>
    </row>
    <row r="111" spans="1:3" ht="30">
      <c r="A111" s="1" t="s">
        <v>532</v>
      </c>
      <c r="B111" s="603" t="s">
        <v>421</v>
      </c>
      <c r="C111" s="1">
        <v>28.596215999999998</v>
      </c>
    </row>
    <row r="112" spans="1:3">
      <c r="A112" s="1" t="s">
        <v>520</v>
      </c>
      <c r="B112" s="603" t="s">
        <v>444</v>
      </c>
      <c r="C112" s="1">
        <v>20.523600000000002</v>
      </c>
    </row>
    <row r="113" spans="1:3">
      <c r="A113" s="1" t="s">
        <v>52</v>
      </c>
      <c r="B113" s="603" t="s">
        <v>389</v>
      </c>
      <c r="C113" s="1">
        <v>20.295559999999998</v>
      </c>
    </row>
    <row r="114" spans="1:3">
      <c r="A114" s="1" t="s">
        <v>533</v>
      </c>
      <c r="B114" s="603" t="s">
        <v>352</v>
      </c>
      <c r="C114" s="1">
        <v>19.383400000000002</v>
      </c>
    </row>
    <row r="115" spans="1:3">
      <c r="A115" s="1" t="s">
        <v>100</v>
      </c>
      <c r="B115" s="603" t="s">
        <v>458</v>
      </c>
      <c r="C115" s="1">
        <v>18.98433</v>
      </c>
    </row>
    <row r="116" spans="1:3">
      <c r="A116" s="1" t="s">
        <v>90</v>
      </c>
      <c r="B116" s="603" t="s">
        <v>462</v>
      </c>
      <c r="C116" s="1">
        <v>15.848779999999998</v>
      </c>
    </row>
    <row r="117" spans="1:3">
      <c r="A117" s="1" t="s">
        <v>49</v>
      </c>
      <c r="B117" s="603" t="s">
        <v>366</v>
      </c>
      <c r="C117" s="1">
        <v>14.822600000000001</v>
      </c>
    </row>
    <row r="118" spans="1:3">
      <c r="A118" s="1" t="s">
        <v>51</v>
      </c>
      <c r="B118" s="603" t="s">
        <v>387</v>
      </c>
      <c r="C118" s="1">
        <v>13.511369999999999</v>
      </c>
    </row>
    <row r="119" spans="1:3">
      <c r="A119" s="1" t="s">
        <v>98</v>
      </c>
      <c r="B119" s="603" t="s">
        <v>457</v>
      </c>
      <c r="C119" s="1">
        <v>13.511369999999999</v>
      </c>
    </row>
    <row r="120" spans="1:3">
      <c r="A120" s="1" t="s">
        <v>104</v>
      </c>
      <c r="B120" s="603" t="s">
        <v>461</v>
      </c>
      <c r="C120" s="1">
        <v>9.9197400000000009</v>
      </c>
    </row>
    <row r="121" spans="1:3">
      <c r="A121" s="1" t="s">
        <v>99</v>
      </c>
      <c r="B121" s="603" t="s">
        <v>456</v>
      </c>
      <c r="C121" s="1">
        <v>6.2711000000000006</v>
      </c>
    </row>
    <row r="122" spans="1:3">
      <c r="A122" s="1" t="s">
        <v>102</v>
      </c>
      <c r="B122" s="603" t="s">
        <v>459</v>
      </c>
      <c r="C122" s="1">
        <v>5.9860500000000005</v>
      </c>
    </row>
    <row r="123" spans="1:3">
      <c r="A123" s="1" t="s">
        <v>103</v>
      </c>
      <c r="B123" s="603" t="s">
        <v>460</v>
      </c>
      <c r="C123" s="1">
        <v>4.2757499999999995</v>
      </c>
    </row>
    <row r="124" spans="1:3" ht="30">
      <c r="A124" s="1" t="s">
        <v>97</v>
      </c>
      <c r="B124" s="603" t="s">
        <v>422</v>
      </c>
      <c r="C124" s="1">
        <v>3.3635899999999994</v>
      </c>
    </row>
    <row r="125" spans="1:3" ht="60">
      <c r="A125" s="1" t="s">
        <v>29</v>
      </c>
      <c r="B125" s="603" t="s">
        <v>517</v>
      </c>
      <c r="C125" s="1">
        <v>-4526.3999999999996</v>
      </c>
    </row>
    <row r="126" spans="1:3" ht="45">
      <c r="A126" s="1" t="s">
        <v>28</v>
      </c>
      <c r="B126" s="603" t="s">
        <v>518</v>
      </c>
      <c r="C126" s="1">
        <v>-12000</v>
      </c>
    </row>
    <row r="127" spans="1:3">
      <c r="A127" s="1" t="s">
        <v>30</v>
      </c>
    </row>
    <row r="128" spans="1:3">
      <c r="A128" s="1" t="s">
        <v>303</v>
      </c>
    </row>
  </sheetData>
  <autoFilter ref="A1:C143">
    <sortState ref="A2:C143">
      <sortCondition descending="1" ref="C1:C143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9</vt:i4>
      </vt:variant>
    </vt:vector>
  </HeadingPairs>
  <TitlesOfParts>
    <vt:vector size="16" baseType="lpstr">
      <vt:lpstr>ANEXO V- Planilha Orçamentária</vt:lpstr>
      <vt:lpstr>ANEXO VI - Curva ABC</vt:lpstr>
      <vt:lpstr>ANEXO VII - Cronograma</vt:lpstr>
      <vt:lpstr>CPU_P.UNITARIO</vt:lpstr>
      <vt:lpstr>VIII - ENC.POR CARGO. FUNÇÃO</vt:lpstr>
      <vt:lpstr>Encargos Complementares</vt:lpstr>
      <vt:lpstr>Plan1</vt:lpstr>
      <vt:lpstr>'ANEXO V- Planilha Orçamentária'!Area_de_impressao</vt:lpstr>
      <vt:lpstr>'ANEXO VI - Curva ABC'!Area_de_impressao</vt:lpstr>
      <vt:lpstr>'ANEXO VII - Cronograma'!Area_de_impressao</vt:lpstr>
      <vt:lpstr>CPU_P.UNITARIO!Area_de_impressao</vt:lpstr>
      <vt:lpstr>'Encargos Complementares'!Area_de_impressao</vt:lpstr>
      <vt:lpstr>'VIII - ENC.POR CARGO. FUNÇÃO'!Area_de_impressao</vt:lpstr>
      <vt:lpstr>'ANEXO V- Planilha Orçamentária'!Titulos_de_impressao</vt:lpstr>
      <vt:lpstr>'ANEXO VI - Curva ABC'!Titulos_de_impressao</vt:lpstr>
      <vt:lpstr>CPU_P.UNITARIO!Titulos_de_impressao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tiago.lima</dc:creator>
  <cp:lastModifiedBy>poliana.rocha</cp:lastModifiedBy>
  <cp:lastPrinted>2017-03-16T12:41:30Z</cp:lastPrinted>
  <dcterms:created xsi:type="dcterms:W3CDTF">2015-04-07T18:28:12Z</dcterms:created>
  <dcterms:modified xsi:type="dcterms:W3CDTF">2017-04-07T13:01:49Z</dcterms:modified>
</cp:coreProperties>
</file>